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J:\KSIAZKI.25\KORYTOWS\US\"/>
    </mc:Choice>
  </mc:AlternateContent>
  <xr:revisionPtr revIDLastSave="0" documentId="13_ncr:1_{99201A80-9B90-415A-9D9F-6F5FAA56F6B7}" xr6:coauthVersionLast="47" xr6:coauthVersionMax="47" xr10:uidLastSave="{00000000-0000-0000-0000-000000000000}"/>
  <bookViews>
    <workbookView xWindow="-19320" yWindow="-120" windowWidth="19440" windowHeight="14880" tabRatio="500" xr2:uid="{00000000-000D-0000-FFFF-FFFF00000000}"/>
  </bookViews>
  <sheets>
    <sheet name="Porównanie leasingów" sheetId="1" r:id="rId1"/>
    <sheet name="Harmonogram - Operacyjny" sheetId="2" r:id="rId2"/>
    <sheet name="Harmonogram - Finansowy" sheetId="3" r:id="rId3"/>
    <sheet name="Amortyzacja (fin.)" sheetId="4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6" i="1" l="1"/>
  <c r="B62" i="1"/>
  <c r="B68" i="1"/>
  <c r="B29" i="1"/>
  <c r="B55" i="1"/>
  <c r="C55" i="1" s="1"/>
  <c r="D55" i="1" s="1"/>
  <c r="B21" i="1"/>
  <c r="B58" i="1" s="1"/>
  <c r="B65" i="1" s="1"/>
  <c r="B71" i="1" s="1"/>
  <c r="B20" i="1"/>
  <c r="B57" i="1" s="1"/>
  <c r="B64" i="1" s="1"/>
  <c r="B70" i="1" s="1"/>
  <c r="B19" i="1"/>
  <c r="B56" i="1" s="1"/>
  <c r="B63" i="1" s="1"/>
  <c r="B69" i="1" s="1"/>
  <c r="B8" i="1"/>
  <c r="B15" i="1"/>
  <c r="D38" i="1" s="1"/>
  <c r="B10" i="1"/>
  <c r="B12" i="1" s="1"/>
  <c r="D37" i="1" s="1"/>
  <c r="B6" i="1"/>
  <c r="B7" i="1" s="1"/>
  <c r="B22" i="1" s="1"/>
  <c r="B4" i="4"/>
  <c r="D30" i="3"/>
  <c r="E30" i="3" s="1"/>
  <c r="F30" i="3" s="1"/>
  <c r="C28" i="3"/>
  <c r="C32" i="3" s="1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0" i="2"/>
  <c r="E30" i="2" s="1"/>
  <c r="F30" i="2" s="1"/>
  <c r="C28" i="2"/>
  <c r="C32" i="2" s="1"/>
  <c r="D27" i="2"/>
  <c r="D26" i="2"/>
  <c r="E26" i="2" s="1"/>
  <c r="F26" i="2" s="1"/>
  <c r="D25" i="2"/>
  <c r="D24" i="2"/>
  <c r="E24" i="2" s="1"/>
  <c r="F24" i="2" s="1"/>
  <c r="D23" i="2"/>
  <c r="E23" i="2" s="1"/>
  <c r="F23" i="2" s="1"/>
  <c r="D22" i="2"/>
  <c r="E22" i="2" s="1"/>
  <c r="F22" i="2" s="1"/>
  <c r="D21" i="2"/>
  <c r="E21" i="2" s="1"/>
  <c r="F21" i="2" s="1"/>
  <c r="E20" i="2"/>
  <c r="F20" i="2" s="1"/>
  <c r="D20" i="2"/>
  <c r="D19" i="2"/>
  <c r="D18" i="2"/>
  <c r="E18" i="2" s="1"/>
  <c r="F18" i="2" s="1"/>
  <c r="D17" i="2"/>
  <c r="E16" i="2"/>
  <c r="F16" i="2" s="1"/>
  <c r="D16" i="2"/>
  <c r="D15" i="2"/>
  <c r="E15" i="2" s="1"/>
  <c r="F15" i="2" s="1"/>
  <c r="E14" i="2"/>
  <c r="F14" i="2" s="1"/>
  <c r="D14" i="2"/>
  <c r="D13" i="2"/>
  <c r="E13" i="2" s="1"/>
  <c r="F13" i="2" s="1"/>
  <c r="D12" i="2"/>
  <c r="E12" i="2" s="1"/>
  <c r="F12" i="2" s="1"/>
  <c r="D11" i="2"/>
  <c r="D10" i="2"/>
  <c r="E10" i="2" s="1"/>
  <c r="F10" i="2" s="1"/>
  <c r="D9" i="2"/>
  <c r="D8" i="2"/>
  <c r="E8" i="2" s="1"/>
  <c r="F8" i="2" s="1"/>
  <c r="D7" i="2"/>
  <c r="E7" i="2" s="1"/>
  <c r="F7" i="2" s="1"/>
  <c r="D6" i="2"/>
  <c r="E6" i="2" s="1"/>
  <c r="F6" i="2" s="1"/>
  <c r="E5" i="2"/>
  <c r="F5" i="2" s="1"/>
  <c r="D5" i="2"/>
  <c r="D4" i="2"/>
  <c r="E4" i="2" s="1"/>
  <c r="G12" i="2" l="1"/>
  <c r="B72" i="1"/>
  <c r="C56" i="1"/>
  <c r="D56" i="1" s="1"/>
  <c r="C57" i="1"/>
  <c r="D57" i="1" s="1"/>
  <c r="C58" i="1"/>
  <c r="D58" i="1" s="1"/>
  <c r="G12" i="3"/>
  <c r="G4" i="3"/>
  <c r="B37" i="1"/>
  <c r="B36" i="1"/>
  <c r="C36" i="1" s="1"/>
  <c r="B38" i="1"/>
  <c r="G14" i="3"/>
  <c r="G22" i="3"/>
  <c r="G20" i="3"/>
  <c r="G13" i="3"/>
  <c r="G6" i="3"/>
  <c r="G7" i="3"/>
  <c r="G15" i="3"/>
  <c r="G23" i="3"/>
  <c r="G21" i="3"/>
  <c r="G8" i="3"/>
  <c r="G16" i="3"/>
  <c r="G24" i="3"/>
  <c r="G5" i="3"/>
  <c r="G9" i="3"/>
  <c r="G17" i="3"/>
  <c r="G25" i="3"/>
  <c r="G10" i="3"/>
  <c r="G18" i="3"/>
  <c r="G26" i="3"/>
  <c r="G11" i="3"/>
  <c r="G19" i="3"/>
  <c r="G27" i="3"/>
  <c r="G13" i="2"/>
  <c r="H13" i="2" s="1"/>
  <c r="G8" i="2"/>
  <c r="H8" i="2" s="1"/>
  <c r="G17" i="2"/>
  <c r="H17" i="2" s="1"/>
  <c r="G21" i="2"/>
  <c r="H21" i="2" s="1"/>
  <c r="G14" i="2"/>
  <c r="H14" i="2" s="1"/>
  <c r="G20" i="2"/>
  <c r="H20" i="2" s="1"/>
  <c r="G5" i="2"/>
  <c r="H5" i="2" s="1"/>
  <c r="G27" i="2"/>
  <c r="H27" i="2" s="1"/>
  <c r="G4" i="2"/>
  <c r="H4" i="2" s="1"/>
  <c r="G16" i="2"/>
  <c r="H16" i="2" s="1"/>
  <c r="G22" i="2"/>
  <c r="H22" i="2" s="1"/>
  <c r="G9" i="2"/>
  <c r="H9" i="2" s="1"/>
  <c r="G11" i="2"/>
  <c r="H11" i="2" s="1"/>
  <c r="G19" i="2"/>
  <c r="H19" i="2" s="1"/>
  <c r="G6" i="2"/>
  <c r="H6" i="2" s="1"/>
  <c r="B16" i="1"/>
  <c r="B82" i="1" s="1"/>
  <c r="H12" i="2"/>
  <c r="C82" i="1"/>
  <c r="G10" i="2"/>
  <c r="H10" i="2" s="1"/>
  <c r="G26" i="2"/>
  <c r="H26" i="2" s="1"/>
  <c r="D28" i="2"/>
  <c r="D32" i="2" s="1"/>
  <c r="G18" i="2"/>
  <c r="H18" i="2" s="1"/>
  <c r="F4" i="2"/>
  <c r="G7" i="2"/>
  <c r="H7" i="2" s="1"/>
  <c r="E9" i="2"/>
  <c r="F9" i="2" s="1"/>
  <c r="G15" i="2"/>
  <c r="H15" i="2" s="1"/>
  <c r="E17" i="2"/>
  <c r="F17" i="2" s="1"/>
  <c r="G23" i="2"/>
  <c r="H23" i="2" s="1"/>
  <c r="E25" i="2"/>
  <c r="F25" i="2" s="1"/>
  <c r="E5" i="3"/>
  <c r="F5" i="3" s="1"/>
  <c r="E7" i="3"/>
  <c r="F7" i="3" s="1"/>
  <c r="E9" i="3"/>
  <c r="F9" i="3" s="1"/>
  <c r="E11" i="3"/>
  <c r="F11" i="3" s="1"/>
  <c r="E13" i="3"/>
  <c r="F13" i="3" s="1"/>
  <c r="E15" i="3"/>
  <c r="F15" i="3" s="1"/>
  <c r="E17" i="3"/>
  <c r="F17" i="3" s="1"/>
  <c r="E19" i="3"/>
  <c r="F19" i="3" s="1"/>
  <c r="E21" i="3"/>
  <c r="F21" i="3" s="1"/>
  <c r="E23" i="3"/>
  <c r="F23" i="3" s="1"/>
  <c r="E25" i="3"/>
  <c r="F25" i="3" s="1"/>
  <c r="E27" i="3"/>
  <c r="F27" i="3" s="1"/>
  <c r="D4" i="4"/>
  <c r="D7" i="4"/>
  <c r="D39" i="1"/>
  <c r="E11" i="2"/>
  <c r="F11" i="2" s="1"/>
  <c r="E19" i="2"/>
  <c r="F19" i="2" s="1"/>
  <c r="G25" i="2"/>
  <c r="H25" i="2" s="1"/>
  <c r="E27" i="2"/>
  <c r="F27" i="2" s="1"/>
  <c r="D5" i="4"/>
  <c r="E4" i="3"/>
  <c r="E6" i="3"/>
  <c r="F6" i="3" s="1"/>
  <c r="E8" i="3"/>
  <c r="F8" i="3" s="1"/>
  <c r="E10" i="3"/>
  <c r="F10" i="3" s="1"/>
  <c r="E12" i="3"/>
  <c r="F12" i="3" s="1"/>
  <c r="E14" i="3"/>
  <c r="F14" i="3" s="1"/>
  <c r="E16" i="3"/>
  <c r="F16" i="3" s="1"/>
  <c r="E18" i="3"/>
  <c r="F18" i="3" s="1"/>
  <c r="E20" i="3"/>
  <c r="F20" i="3" s="1"/>
  <c r="E22" i="3"/>
  <c r="F22" i="3" s="1"/>
  <c r="E24" i="3"/>
  <c r="F24" i="3" s="1"/>
  <c r="E26" i="3"/>
  <c r="F26" i="3" s="1"/>
  <c r="D28" i="3"/>
  <c r="D32" i="3" s="1"/>
  <c r="D8" i="4"/>
  <c r="G24" i="2"/>
  <c r="H24" i="2" s="1"/>
  <c r="D6" i="4"/>
  <c r="C38" i="1" l="1"/>
  <c r="B46" i="1"/>
  <c r="D59" i="1"/>
  <c r="B43" i="1"/>
  <c r="C37" i="1"/>
  <c r="B48" i="1" s="1"/>
  <c r="G28" i="3"/>
  <c r="H28" i="2"/>
  <c r="E28" i="3"/>
  <c r="E32" i="3" s="1"/>
  <c r="F4" i="3"/>
  <c r="F28" i="3" s="1"/>
  <c r="F32" i="3" s="1"/>
  <c r="E28" i="2"/>
  <c r="E32" i="2" s="1"/>
  <c r="B74" i="1"/>
  <c r="C59" i="1"/>
  <c r="B59" i="1"/>
  <c r="F28" i="2"/>
  <c r="F32" i="2" s="1"/>
  <c r="B75" i="1"/>
  <c r="B76" i="1"/>
  <c r="B39" i="1"/>
  <c r="E8" i="4"/>
  <c r="F8" i="4" s="1"/>
  <c r="E5" i="4"/>
  <c r="F5" i="4" s="1"/>
  <c r="E7" i="4"/>
  <c r="F7" i="4" s="1"/>
  <c r="E4" i="4"/>
  <c r="F4" i="4" s="1"/>
  <c r="E6" i="4"/>
  <c r="F6" i="4" s="1"/>
  <c r="G28" i="2"/>
  <c r="B44" i="1" l="1"/>
  <c r="B49" i="1" s="1"/>
  <c r="B77" i="1"/>
  <c r="B78" i="1" s="1"/>
  <c r="C83" i="1" s="1"/>
  <c r="C84" i="1" s="1"/>
  <c r="C39" i="1"/>
  <c r="B45" i="1" l="1"/>
  <c r="B50" i="1"/>
  <c r="B51" i="1"/>
  <c r="B52" i="1" s="1"/>
  <c r="B83" i="1" s="1"/>
  <c r="B84" i="1" s="1"/>
  <c r="B85" i="1" s="1"/>
</calcChain>
</file>

<file path=xl/sharedStrings.xml><?xml version="1.0" encoding="utf-8"?>
<sst xmlns="http://schemas.openxmlformats.org/spreadsheetml/2006/main" count="190" uniqueCount="139">
  <si>
    <t>PORÓWNANIE LEASINGU OPERACYJNEGO I FINANSOWEGO</t>
  </si>
  <si>
    <t>DANE WEJŚCIOWE</t>
  </si>
  <si>
    <t>Wartość netto samochodu:</t>
  </si>
  <si>
    <t>Stawka VAT:</t>
  </si>
  <si>
    <t>Wartość VAT:</t>
  </si>
  <si>
    <t>Wartość brutto samochodu:</t>
  </si>
  <si>
    <t>Liczba rat:</t>
  </si>
  <si>
    <t>Kwota raty miesięcznej (brutto):</t>
  </si>
  <si>
    <t>Data rozpoczęcia:</t>
  </si>
  <si>
    <t>12/2025</t>
  </si>
  <si>
    <t>Suma rat (brutto):</t>
  </si>
  <si>
    <t>LEASING OPERACYJNY:</t>
  </si>
  <si>
    <t>Kwota wykupu (brutto):</t>
  </si>
  <si>
    <t>Całkowity koszt leasingu oper.:</t>
  </si>
  <si>
    <t>LEASING FINANSOWY:</t>
  </si>
  <si>
    <t>Kwota odsetek (netto):</t>
  </si>
  <si>
    <t>PARAMETRY PODATKOWE</t>
  </si>
  <si>
    <t>Limit odliczenia VAT (samochód osobowy):</t>
  </si>
  <si>
    <t>art. 86a ust. 3 ustawy o VAT</t>
  </si>
  <si>
    <t>Limit wartości samochodu (od 01.01.2026):</t>
  </si>
  <si>
    <t>art. 23a ust. 1 pkt 46 ustawy o PIT</t>
  </si>
  <si>
    <t>Stawka amortyzacji (leasing finansowy):</t>
  </si>
  <si>
    <t>KŚT grupa 6</t>
  </si>
  <si>
    <t>Stawka podatku PIT (skala):</t>
  </si>
  <si>
    <t>I próg: 12% lub II próg: 32%</t>
  </si>
  <si>
    <t>Składka zdrowotna:</t>
  </si>
  <si>
    <t>9% od dochodu (nieoddliczalna)</t>
  </si>
  <si>
    <t>LEASING OPERACYJNY - SKUTKI PODATKOWE</t>
  </si>
  <si>
    <t>Wyszczególnienie</t>
  </si>
  <si>
    <t>Kwota netto</t>
  </si>
  <si>
    <t>VAT</t>
  </si>
  <si>
    <t>Kwota brutto</t>
  </si>
  <si>
    <t>Suma rat leasingowych</t>
  </si>
  <si>
    <t>Kwota wykupu</t>
  </si>
  <si>
    <t>RAZEM</t>
  </si>
  <si>
    <t>Koszty podatkowe:</t>
  </si>
  <si>
    <t>Suma rat (wartość księgowa)</t>
  </si>
  <si>
    <t>KUP po zastosowaniu limitu 100k</t>
  </si>
  <si>
    <t>Tylko ta część stanowi koszt!</t>
  </si>
  <si>
    <t>Część rat niezaliczalna do KUP</t>
  </si>
  <si>
    <t>Nie stanowi kosztu podatkowego</t>
  </si>
  <si>
    <t>VAT naliczony do odliczenia (50%)</t>
  </si>
  <si>
    <t>Oszczędność PIT (brutto)</t>
  </si>
  <si>
    <t>Oszczędność PIT (netto)</t>
  </si>
  <si>
    <t>Całkowity benefit podatkowy</t>
  </si>
  <si>
    <t>LEASING FINANSOWY - SKUTKI PODATKOWE</t>
  </si>
  <si>
    <t>Opłata za przeniesienie własności</t>
  </si>
  <si>
    <t>Struktura kosztów:</t>
  </si>
  <si>
    <t>Wartość początkowa środka trwałego</t>
  </si>
  <si>
    <t>Bez limitu 100k!</t>
  </si>
  <si>
    <t>Raty netto minus odsetki</t>
  </si>
  <si>
    <t>Suma odsetek</t>
  </si>
  <si>
    <t>Koszt podatkowy</t>
  </si>
  <si>
    <t>Koszty podatkowe (rocznie):</t>
  </si>
  <si>
    <t>Opłata za przeniesienie (jednorazowo)</t>
  </si>
  <si>
    <t>Suma kosztów podatkowych</t>
  </si>
  <si>
    <t>PODSUMOWANIE PORÓWNAWCZE</t>
  </si>
  <si>
    <t>Leasing operacyjny</t>
  </si>
  <si>
    <t>Leasing finansowy</t>
  </si>
  <si>
    <t>Całkowity koszt (brutto)</t>
  </si>
  <si>
    <t>Benefit podatkowy (VAT+PIT-ZUS)</t>
  </si>
  <si>
    <t>Koszty netto po benefitach</t>
  </si>
  <si>
    <t>Różnica</t>
  </si>
  <si>
    <t>(wartość dodatnia = leasing oper. korzystniejszy)</t>
  </si>
  <si>
    <t>OBJAŚNIENIE BENEFITU PODATKOWEGO:</t>
  </si>
  <si>
    <t>HARMONOGRAM SPŁAT - LEASING OPERACYJNY</t>
  </si>
  <si>
    <t>Nr raty</t>
  </si>
  <si>
    <t>Data płatności</t>
  </si>
  <si>
    <t>Rata brutto</t>
  </si>
  <si>
    <t>Rata netto</t>
  </si>
  <si>
    <t>VAT do odliczenia (50%)</t>
  </si>
  <si>
    <t>KUP (z limitem)</t>
  </si>
  <si>
    <t>KUP niezaliczalne</t>
  </si>
  <si>
    <t>2025-12-01</t>
  </si>
  <si>
    <t>2026-01-01</t>
  </si>
  <si>
    <t>2026-02-01</t>
  </si>
  <si>
    <t>2026-03-01</t>
  </si>
  <si>
    <t>2026-04-01</t>
  </si>
  <si>
    <t>2026-05-01</t>
  </si>
  <si>
    <t>2026-06-01</t>
  </si>
  <si>
    <t>2026-07-01</t>
  </si>
  <si>
    <t>2026-08-01</t>
  </si>
  <si>
    <t>2026-09-01</t>
  </si>
  <si>
    <t>2026-10-01</t>
  </si>
  <si>
    <t>2026-11-01</t>
  </si>
  <si>
    <t>2026-12-01</t>
  </si>
  <si>
    <t>2027-01-01</t>
  </si>
  <si>
    <t>2027-02-01</t>
  </si>
  <si>
    <t>2027-03-01</t>
  </si>
  <si>
    <t>2027-04-01</t>
  </si>
  <si>
    <t>2027-05-01</t>
  </si>
  <si>
    <t>2027-06-01</t>
  </si>
  <si>
    <t>2027-07-01</t>
  </si>
  <si>
    <t>2027-08-01</t>
  </si>
  <si>
    <t>2027-09-01</t>
  </si>
  <si>
    <t>2027-10-01</t>
  </si>
  <si>
    <t>2027-11-01</t>
  </si>
  <si>
    <t>SUMA RAT</t>
  </si>
  <si>
    <t>WYKUP</t>
  </si>
  <si>
    <t>RAZEM Z WYKUPEM</t>
  </si>
  <si>
    <t>UWAGA:</t>
  </si>
  <si>
    <t>Kolumna "KUP (z limitem)" pokazuje część raty zaliczalną do kosztów podatkowych</t>
  </si>
  <si>
    <t>Kolumna "KUP niezaliczalne" to część NIE stanowiąca kosztu (przekroczenie limitu 100k)</t>
  </si>
  <si>
    <t>HARMONOGRAM SPŁAT - LEASING FINANSOWY</t>
  </si>
  <si>
    <t>Część kapitałowa</t>
  </si>
  <si>
    <t>PRZENIESIENIE WŁASNOŚCI</t>
  </si>
  <si>
    <t>RAZEM Z OPŁATĄ</t>
  </si>
  <si>
    <t>W leasingu finansowym NIE MA limitu 100 000 PLN</t>
  </si>
  <si>
    <t>Cała wartość samochodu podlega amortyzacji</t>
  </si>
  <si>
    <t>Opłata za przeniesienie własności stanowi koszt podatkowy</t>
  </si>
  <si>
    <t>PLAN AMORTYZACJI - LEASING FINANSOWY</t>
  </si>
  <si>
    <t>Rok</t>
  </si>
  <si>
    <t>Wartość początkowa</t>
  </si>
  <si>
    <t>Stawka amortyzacji</t>
  </si>
  <si>
    <t>Odpis roczny</t>
  </si>
  <si>
    <t>Umorzenie narastająco</t>
  </si>
  <si>
    <t>Wartość księgowa netto</t>
  </si>
  <si>
    <t>UWAGI:</t>
  </si>
  <si>
    <t>• Amortyzacja według stawki 20% (KŚT grupa 6 - samochody osobowe)</t>
  </si>
  <si>
    <t>• Pełna amortyzacja w 5 lat</t>
  </si>
  <si>
    <t>• Wartość początkowa: 118 446,34 PLN (bez limitu!)</t>
  </si>
  <si>
    <t>• Wartość rezydualna po 5 latach: 0 PLN</t>
  </si>
  <si>
    <t>Opłata wstępna</t>
  </si>
  <si>
    <t>Limit wartości samochodu (do 31.12.2025):</t>
  </si>
  <si>
    <t>Współczynnik KUP (leasing operacyjny) do 31.12.2025</t>
  </si>
  <si>
    <t>Wpłata początkowa (bez odsetek)</t>
  </si>
  <si>
    <t>&lt;150 000,00</t>
  </si>
  <si>
    <t>Składka zdrowotna (9%)</t>
  </si>
  <si>
    <t>Odsetki (łącznie przez 3 lata)</t>
  </si>
  <si>
    <t>Amortyzacja całkowita</t>
  </si>
  <si>
    <t>Całość stanowi koszt , bo uwmao w 2025 roku</t>
  </si>
  <si>
    <t>Kwota wykupu (nett+50%VAT):</t>
  </si>
  <si>
    <t>Benefit = VAT do odliczenia (50%) + Oszczędność PIT +  Składka zdrowotna (9%)</t>
  </si>
  <si>
    <t>Kwota odsetek (brutto):</t>
  </si>
  <si>
    <t>Wpłata początkowa brutto (bez odsetek)</t>
  </si>
  <si>
    <t>Opłata za przeniesienie własności (brutto):</t>
  </si>
  <si>
    <t>Całkowity koszt leasingu fin. (brutto):</t>
  </si>
  <si>
    <t>100 000 / wartość zakupu  +50% VAT z wartości zakupu</t>
  </si>
  <si>
    <t>Współczynnik KUP (leasing operacyjny) od 01.01.2026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</si>
</sst>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"/>
    </font>
    <font>
      <sz val="10"/>
      <name val="Arial"/>
    </font>
    <font>
      <b/>
      <sz val="14"/>
      <name val="Cambria"/>
      <charset val="1"/>
    </font>
    <font>
      <b/>
      <sz val="12"/>
      <color rgb="FFFFFFFF"/>
      <name val="Cambria"/>
      <charset val="1"/>
    </font>
    <font>
      <sz val="11"/>
      <color rgb="FF0000FF"/>
      <name val="Cambria"/>
      <charset val="1"/>
    </font>
    <font>
      <b/>
      <sz val="11"/>
      <name val="Cambria"/>
      <charset val="1"/>
    </font>
    <font>
      <b/>
      <sz val="11"/>
      <color rgb="FFFFFFFF"/>
      <name val="Cambria"/>
      <charset val="1"/>
    </font>
    <font>
      <i/>
      <sz val="9"/>
      <name val="Cambria"/>
      <charset val="1"/>
    </font>
    <font>
      <i/>
      <sz val="9"/>
      <color rgb="FFFF0000"/>
      <name val="Cambria"/>
      <charset val="1"/>
    </font>
    <font>
      <i/>
      <sz val="9"/>
      <color rgb="FF00B050"/>
      <name val="Cambria"/>
      <charset val="1"/>
    </font>
    <font>
      <b/>
      <sz val="10"/>
      <color rgb="FF0000FF"/>
      <name val="Cambria"/>
      <charset val="1"/>
    </font>
    <font>
      <b/>
      <sz val="11"/>
      <color rgb="FFFF0000"/>
      <name val="Cambria"/>
      <charset val="1"/>
    </font>
    <font>
      <b/>
      <sz val="11"/>
      <color rgb="FF00B050"/>
      <name val="Cambria"/>
      <charset val="1"/>
    </font>
    <font>
      <i/>
      <sz val="11"/>
      <name val="Cambria"/>
      <charset val="1"/>
    </font>
    <font>
      <i/>
      <sz val="11"/>
      <color rgb="FF00B050"/>
      <name val="Cambria"/>
      <charset val="1"/>
    </font>
    <font>
      <sz val="11"/>
      <name val="Cambria"/>
      <family val="1"/>
      <charset val="238"/>
    </font>
    <font>
      <i/>
      <sz val="9"/>
      <name val="Cambria"/>
      <family val="1"/>
      <charset val="238"/>
    </font>
    <font>
      <i/>
      <sz val="9"/>
      <color rgb="FFFF0000"/>
      <name val="Cambria"/>
      <family val="1"/>
      <charset val="238"/>
    </font>
    <font>
      <sz val="11"/>
      <color rgb="FF7030A0"/>
      <name val="Cambria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4472C4"/>
        <bgColor rgb="FF666699"/>
      </patternFill>
    </fill>
    <fill>
      <patternFill patternType="solid">
        <fgColor rgb="FF70AD47"/>
        <bgColor rgb="FF99CC00"/>
      </patternFill>
    </fill>
    <fill>
      <patternFill patternType="solid">
        <fgColor rgb="FFED7D31"/>
        <bgColor rgb="FFFF8080"/>
      </patternFill>
    </fill>
    <fill>
      <patternFill patternType="solid">
        <fgColor rgb="FFE2EFDA"/>
        <bgColor rgb="FFDDEBF7"/>
      </patternFill>
    </fill>
    <fill>
      <patternFill patternType="solid">
        <fgColor rgb="FFFFC7CE"/>
        <bgColor rgb="FFFCE4D6"/>
      </patternFill>
    </fill>
    <fill>
      <patternFill patternType="solid">
        <fgColor rgb="FFFFFF00"/>
        <bgColor rgb="FFFFFF00"/>
      </patternFill>
    </fill>
    <fill>
      <patternFill patternType="solid">
        <fgColor rgb="FFFCE4D6"/>
        <bgColor rgb="FFE2EFDA"/>
      </patternFill>
    </fill>
    <fill>
      <patternFill patternType="solid">
        <fgColor rgb="FF5B9BD5"/>
        <bgColor rgb="FF4472C4"/>
      </patternFill>
    </fill>
    <fill>
      <patternFill patternType="solid">
        <fgColor rgb="FFDDEBF7"/>
        <bgColor rgb="FFE2EFDA"/>
      </patternFill>
    </fill>
    <fill>
      <patternFill patternType="solid">
        <fgColor theme="0"/>
        <bgColor rgb="FFFCE4D6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Border="0" applyAlignment="0" applyProtection="0"/>
  </cellStyleXfs>
  <cellXfs count="37">
    <xf numFmtId="0" fontId="0" fillId="0" borderId="0" xfId="0"/>
    <xf numFmtId="4" fontId="4" fillId="0" borderId="0" xfId="0" applyNumberFormat="1" applyFont="1"/>
    <xf numFmtId="9" fontId="4" fillId="0" borderId="0" xfId="0" applyNumberFormat="1" applyFont="1"/>
    <xf numFmtId="4" fontId="0" fillId="0" borderId="0" xfId="0" applyNumberFormat="1"/>
    <xf numFmtId="4" fontId="5" fillId="0" borderId="0" xfId="0" applyNumberFormat="1" applyFont="1"/>
    <xf numFmtId="0" fontId="4" fillId="0" borderId="0" xfId="0" applyFont="1"/>
    <xf numFmtId="0" fontId="6" fillId="3" borderId="0" xfId="0" applyFont="1" applyFill="1"/>
    <xf numFmtId="0" fontId="6" fillId="4" borderId="0" xfId="0" applyFont="1" applyFill="1"/>
    <xf numFmtId="0" fontId="7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5" fillId="5" borderId="0" xfId="0" applyFont="1" applyFill="1"/>
    <xf numFmtId="0" fontId="5" fillId="0" borderId="0" xfId="0" applyFont="1"/>
    <xf numFmtId="0" fontId="8" fillId="0" borderId="0" xfId="0" applyFont="1"/>
    <xf numFmtId="4" fontId="0" fillId="6" borderId="0" xfId="0" applyNumberFormat="1" applyFill="1"/>
    <xf numFmtId="4" fontId="5" fillId="7" borderId="0" xfId="0" applyNumberFormat="1" applyFont="1" applyFill="1"/>
    <xf numFmtId="0" fontId="5" fillId="8" borderId="0" xfId="0" applyFont="1" applyFill="1"/>
    <xf numFmtId="0" fontId="9" fillId="0" borderId="0" xfId="0" applyFont="1"/>
    <xf numFmtId="0" fontId="5" fillId="10" borderId="0" xfId="0" applyFont="1" applyFill="1"/>
    <xf numFmtId="0" fontId="10" fillId="0" borderId="0" xfId="0" applyFont="1"/>
    <xf numFmtId="0" fontId="11" fillId="0" borderId="0" xfId="0" applyFont="1"/>
    <xf numFmtId="0" fontId="12" fillId="0" borderId="0" xfId="0" applyFont="1"/>
    <xf numFmtId="9" fontId="0" fillId="0" borderId="0" xfId="0" applyNumberFormat="1"/>
    <xf numFmtId="0" fontId="13" fillId="0" borderId="0" xfId="0" applyFont="1"/>
    <xf numFmtId="0" fontId="14" fillId="0" borderId="0" xfId="0" applyFont="1"/>
    <xf numFmtId="4" fontId="15" fillId="0" borderId="0" xfId="0" applyNumberFormat="1" applyFont="1"/>
    <xf numFmtId="0" fontId="16" fillId="0" borderId="0" xfId="0" applyFont="1"/>
    <xf numFmtId="9" fontId="1" fillId="0" borderId="0" xfId="1"/>
    <xf numFmtId="0" fontId="17" fillId="0" borderId="0" xfId="0" applyFont="1"/>
    <xf numFmtId="4" fontId="0" fillId="11" borderId="0" xfId="0" applyNumberFormat="1" applyFill="1"/>
    <xf numFmtId="0" fontId="5" fillId="10" borderId="0" xfId="0" applyFont="1" applyFill="1" applyAlignment="1">
      <alignment horizontal="right"/>
    </xf>
    <xf numFmtId="4" fontId="18" fillId="0" borderId="0" xfId="0" applyNumberFormat="1" applyFont="1"/>
    <xf numFmtId="0" fontId="3" fillId="9" borderId="0" xfId="0" applyFont="1" applyFill="1"/>
    <xf numFmtId="0" fontId="2" fillId="0" borderId="0" xfId="0" applyFont="1" applyAlignment="1">
      <alignment horizontal="center"/>
    </xf>
    <xf numFmtId="0" fontId="3" fillId="2" borderId="0" xfId="0" applyFont="1" applyFill="1"/>
    <xf numFmtId="0" fontId="3" fillId="3" borderId="0" xfId="0" applyFont="1" applyFill="1"/>
    <xf numFmtId="0" fontId="3" fillId="4" borderId="0" xfId="0" applyFont="1" applyFill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CE4D6"/>
      <rgbColor rgb="FFDD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FC7CE"/>
      <rgbColor rgb="FF4472C4"/>
      <rgbColor rgb="FF33CCCC"/>
      <rgbColor rgb="FF99CC00"/>
      <rgbColor rgb="FFFFCC00"/>
      <rgbColor rgb="FFFF9900"/>
      <rgbColor rgb="FFED7D31"/>
      <rgbColor rgb="FF666699"/>
      <rgbColor rgb="FF70AD47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4"/>
  <sheetViews>
    <sheetView tabSelected="1" topLeftCell="A7" zoomScaleNormal="100" workbookViewId="0">
      <selection activeCell="B19" sqref="B19"/>
    </sheetView>
  </sheetViews>
  <sheetFormatPr defaultColWidth="8.7109375" defaultRowHeight="15" x14ac:dyDescent="0.25"/>
  <cols>
    <col min="1" max="1" width="65" customWidth="1"/>
    <col min="2" max="2" width="20" customWidth="1"/>
    <col min="3" max="3" width="43.7109375" customWidth="1"/>
    <col min="4" max="4" width="15" customWidth="1"/>
    <col min="5" max="8" width="6" customWidth="1"/>
  </cols>
  <sheetData>
    <row r="1" spans="1:8" ht="18" x14ac:dyDescent="0.25">
      <c r="A1" s="33" t="s">
        <v>0</v>
      </c>
      <c r="B1" s="33"/>
      <c r="C1" s="33"/>
      <c r="D1" s="33"/>
      <c r="E1" s="33"/>
      <c r="F1" s="33"/>
      <c r="G1" s="33"/>
      <c r="H1" s="33"/>
    </row>
    <row r="3" spans="1:8" ht="15.75" x14ac:dyDescent="0.25">
      <c r="A3" s="34" t="s">
        <v>1</v>
      </c>
      <c r="B3" s="34"/>
    </row>
    <row r="4" spans="1:8" x14ac:dyDescent="0.25">
      <c r="A4" t="s">
        <v>2</v>
      </c>
      <c r="B4" s="1">
        <v>118446.34</v>
      </c>
    </row>
    <row r="5" spans="1:8" x14ac:dyDescent="0.25">
      <c r="A5" t="s">
        <v>3</v>
      </c>
      <c r="B5" s="2">
        <v>0.23</v>
      </c>
    </row>
    <row r="6" spans="1:8" x14ac:dyDescent="0.25">
      <c r="A6" t="s">
        <v>4</v>
      </c>
      <c r="B6" s="3">
        <f>ROUND(B4*B5,2)</f>
        <v>27242.66</v>
      </c>
    </row>
    <row r="7" spans="1:8" x14ac:dyDescent="0.25">
      <c r="A7" t="s">
        <v>5</v>
      </c>
      <c r="B7" s="4">
        <f>B4+B6</f>
        <v>145689</v>
      </c>
    </row>
    <row r="8" spans="1:8" x14ac:dyDescent="0.25">
      <c r="A8" t="s">
        <v>122</v>
      </c>
      <c r="B8" s="31">
        <f>ROUND(32520.32*1.23,2)</f>
        <v>39999.99</v>
      </c>
    </row>
    <row r="9" spans="1:8" x14ac:dyDescent="0.25">
      <c r="A9" t="s">
        <v>6</v>
      </c>
      <c r="B9" s="5">
        <v>35</v>
      </c>
    </row>
    <row r="10" spans="1:8" x14ac:dyDescent="0.25">
      <c r="A10" t="s">
        <v>7</v>
      </c>
      <c r="B10" s="1">
        <f>ROUND(2707.93*1.23,2)</f>
        <v>3330.75</v>
      </c>
    </row>
    <row r="11" spans="1:8" x14ac:dyDescent="0.25">
      <c r="A11" t="s">
        <v>8</v>
      </c>
      <c r="B11" s="5" t="s">
        <v>9</v>
      </c>
    </row>
    <row r="12" spans="1:8" x14ac:dyDescent="0.25">
      <c r="A12" t="s">
        <v>10</v>
      </c>
      <c r="B12" s="3">
        <f>B9*B10</f>
        <v>116576.25</v>
      </c>
    </row>
    <row r="14" spans="1:8" x14ac:dyDescent="0.25">
      <c r="A14" s="6" t="s">
        <v>11</v>
      </c>
    </row>
    <row r="15" spans="1:8" x14ac:dyDescent="0.25">
      <c r="A15" t="s">
        <v>12</v>
      </c>
      <c r="B15" s="1">
        <f>ROUND(1184.46*1.23,2)</f>
        <v>1456.89</v>
      </c>
    </row>
    <row r="16" spans="1:8" x14ac:dyDescent="0.25">
      <c r="A16" t="s">
        <v>13</v>
      </c>
      <c r="B16" s="4">
        <f>B12+B15+B8</f>
        <v>158033.13</v>
      </c>
    </row>
    <row r="18" spans="1:3" x14ac:dyDescent="0.25">
      <c r="A18" s="7" t="s">
        <v>14</v>
      </c>
    </row>
    <row r="19" spans="1:3" x14ac:dyDescent="0.25">
      <c r="A19" t="s">
        <v>134</v>
      </c>
      <c r="B19" s="1">
        <f>ROUND(1184.46*1.23,2)</f>
        <v>1456.89</v>
      </c>
    </row>
    <row r="20" spans="1:3" x14ac:dyDescent="0.25">
      <c r="A20" t="s">
        <v>133</v>
      </c>
      <c r="B20" s="1">
        <f>ROUND(10597.64*1.23,2)</f>
        <v>13035.1</v>
      </c>
    </row>
    <row r="21" spans="1:3" x14ac:dyDescent="0.25">
      <c r="A21" t="s">
        <v>135</v>
      </c>
      <c r="B21" s="1">
        <f>ROUND(1184.46*1.23,2)</f>
        <v>1456.89</v>
      </c>
    </row>
    <row r="22" spans="1:3" x14ac:dyDescent="0.25">
      <c r="A22" t="s">
        <v>136</v>
      </c>
      <c r="B22" s="4">
        <f>B7+B19+B20+B21</f>
        <v>161637.88000000003</v>
      </c>
    </row>
    <row r="24" spans="1:3" ht="15.75" x14ac:dyDescent="0.25">
      <c r="A24" s="34" t="s">
        <v>16</v>
      </c>
      <c r="B24" s="34"/>
    </row>
    <row r="25" spans="1:3" x14ac:dyDescent="0.25">
      <c r="A25" t="s">
        <v>17</v>
      </c>
      <c r="B25" s="2">
        <v>0.5</v>
      </c>
      <c r="C25" s="8" t="s">
        <v>18</v>
      </c>
    </row>
    <row r="26" spans="1:3" x14ac:dyDescent="0.25">
      <c r="A26" t="s">
        <v>123</v>
      </c>
      <c r="B26" s="9">
        <v>150000</v>
      </c>
      <c r="C26" s="8" t="s">
        <v>20</v>
      </c>
    </row>
    <row r="27" spans="1:3" x14ac:dyDescent="0.25">
      <c r="A27" t="s">
        <v>19</v>
      </c>
      <c r="B27" s="9">
        <v>100000</v>
      </c>
      <c r="C27" s="8" t="s">
        <v>20</v>
      </c>
    </row>
    <row r="28" spans="1:3" x14ac:dyDescent="0.25">
      <c r="A28" t="s">
        <v>124</v>
      </c>
      <c r="B28" s="27">
        <v>1</v>
      </c>
      <c r="C28" s="26" t="s">
        <v>126</v>
      </c>
    </row>
    <row r="29" spans="1:3" x14ac:dyDescent="0.25">
      <c r="A29" t="s">
        <v>138</v>
      </c>
      <c r="B29" s="10">
        <f>ROUND(100000/(B4+B4*0.23/2),4)</f>
        <v>0.75719999999999998</v>
      </c>
      <c r="C29" s="26" t="s">
        <v>137</v>
      </c>
    </row>
    <row r="30" spans="1:3" x14ac:dyDescent="0.25">
      <c r="A30" t="s">
        <v>21</v>
      </c>
      <c r="B30" s="2">
        <v>0.2</v>
      </c>
      <c r="C30" s="8" t="s">
        <v>22</v>
      </c>
    </row>
    <row r="31" spans="1:3" x14ac:dyDescent="0.25">
      <c r="A31" t="s">
        <v>23</v>
      </c>
      <c r="B31" s="2">
        <v>0.12</v>
      </c>
      <c r="C31" s="8" t="s">
        <v>24</v>
      </c>
    </row>
    <row r="32" spans="1:3" x14ac:dyDescent="0.25">
      <c r="A32" t="s">
        <v>25</v>
      </c>
      <c r="B32" s="2">
        <v>0.09</v>
      </c>
      <c r="C32" s="8" t="s">
        <v>26</v>
      </c>
    </row>
    <row r="34" spans="1:4" ht="15.75" x14ac:dyDescent="0.25">
      <c r="A34" s="35" t="s">
        <v>27</v>
      </c>
      <c r="B34" s="35"/>
      <c r="C34" s="35"/>
      <c r="D34" s="35"/>
    </row>
    <row r="35" spans="1:4" x14ac:dyDescent="0.25">
      <c r="A35" s="11" t="s">
        <v>28</v>
      </c>
      <c r="B35" s="11" t="s">
        <v>29</v>
      </c>
      <c r="C35" s="11" t="s">
        <v>30</v>
      </c>
      <c r="D35" s="11" t="s">
        <v>31</v>
      </c>
    </row>
    <row r="36" spans="1:4" x14ac:dyDescent="0.25">
      <c r="A36" t="s">
        <v>122</v>
      </c>
      <c r="B36" s="3">
        <f>ROUND(B8/(1+B5),2)</f>
        <v>32520.32</v>
      </c>
      <c r="C36" s="3">
        <f>B8-B36</f>
        <v>7479.6699999999983</v>
      </c>
      <c r="D36" s="3">
        <f>B8</f>
        <v>39999.99</v>
      </c>
    </row>
    <row r="37" spans="1:4" x14ac:dyDescent="0.25">
      <c r="A37" t="s">
        <v>32</v>
      </c>
      <c r="B37" s="3">
        <f>ROUND(B12/(1+B5),2)</f>
        <v>94777.44</v>
      </c>
      <c r="C37" s="3">
        <f>B12-B37</f>
        <v>21798.809999999998</v>
      </c>
      <c r="D37" s="3">
        <f>B12</f>
        <v>116576.25</v>
      </c>
    </row>
    <row r="38" spans="1:4" x14ac:dyDescent="0.25">
      <c r="A38" t="s">
        <v>33</v>
      </c>
      <c r="B38" s="3">
        <f>ROUND(B15/(1+B5),2)</f>
        <v>1184.46</v>
      </c>
      <c r="C38" s="3">
        <f>B15-B38</f>
        <v>272.43000000000006</v>
      </c>
      <c r="D38" s="3">
        <f>B15</f>
        <v>1456.89</v>
      </c>
    </row>
    <row r="39" spans="1:4" x14ac:dyDescent="0.25">
      <c r="A39" s="12" t="s">
        <v>34</v>
      </c>
      <c r="B39" s="4">
        <f>SUM(B36:B38)</f>
        <v>128482.22000000002</v>
      </c>
      <c r="C39" s="4">
        <f>SUM(C36:C38)</f>
        <v>29550.909999999996</v>
      </c>
      <c r="D39" s="4">
        <f>SUM(D36:D38)</f>
        <v>158033.13</v>
      </c>
    </row>
    <row r="40" spans="1:4" x14ac:dyDescent="0.25">
      <c r="A40" s="12"/>
      <c r="B40" s="4"/>
      <c r="C40" s="4"/>
      <c r="D40" s="4"/>
    </row>
    <row r="42" spans="1:4" x14ac:dyDescent="0.25">
      <c r="A42" s="12" t="s">
        <v>35</v>
      </c>
    </row>
    <row r="43" spans="1:4" x14ac:dyDescent="0.25">
      <c r="A43" t="s">
        <v>36</v>
      </c>
      <c r="B43" s="3">
        <f>ROUND((B36+C36/2),2)</f>
        <v>36260.160000000003</v>
      </c>
      <c r="C43" s="28" t="s">
        <v>130</v>
      </c>
    </row>
    <row r="44" spans="1:4" x14ac:dyDescent="0.25">
      <c r="A44" t="s">
        <v>37</v>
      </c>
      <c r="B44" s="3">
        <f>(B37+C37/2)*B29</f>
        <v>80018.507033999995</v>
      </c>
      <c r="C44" s="13" t="s">
        <v>38</v>
      </c>
    </row>
    <row r="45" spans="1:4" x14ac:dyDescent="0.25">
      <c r="A45" t="s">
        <v>39</v>
      </c>
      <c r="B45" s="14">
        <f>B37+ROUND(C37/2,2)-B44</f>
        <v>25658.342966000011</v>
      </c>
      <c r="C45" s="13" t="s">
        <v>40</v>
      </c>
    </row>
    <row r="46" spans="1:4" x14ac:dyDescent="0.25">
      <c r="A46" t="s">
        <v>131</v>
      </c>
      <c r="B46" s="29">
        <f>B38+ROUND(C38/2,2)</f>
        <v>1320.68</v>
      </c>
      <c r="C46" s="13"/>
    </row>
    <row r="48" spans="1:4" x14ac:dyDescent="0.25">
      <c r="A48" t="s">
        <v>41</v>
      </c>
      <c r="B48" s="3">
        <f>(C36+C37+C38)*B25</f>
        <v>14775.454999999998</v>
      </c>
    </row>
    <row r="49" spans="1:4" x14ac:dyDescent="0.25">
      <c r="A49" t="s">
        <v>42</v>
      </c>
      <c r="B49" s="3">
        <f>ROUND((B44+B43+B46)*B31,2)</f>
        <v>14111.92</v>
      </c>
    </row>
    <row r="50" spans="1:4" x14ac:dyDescent="0.25">
      <c r="A50" t="s">
        <v>127</v>
      </c>
      <c r="B50" s="29">
        <f>ROUND((B44+B43+B46)*B32,2)</f>
        <v>10583.94</v>
      </c>
      <c r="C50" s="13"/>
    </row>
    <row r="51" spans="1:4" x14ac:dyDescent="0.25">
      <c r="A51" t="s">
        <v>43</v>
      </c>
      <c r="B51" s="3">
        <f>B49+B50</f>
        <v>24695.86</v>
      </c>
    </row>
    <row r="52" spans="1:4" x14ac:dyDescent="0.25">
      <c r="A52" t="s">
        <v>44</v>
      </c>
      <c r="B52" s="15">
        <f>B48+B51</f>
        <v>39471.315000000002</v>
      </c>
    </row>
    <row r="53" spans="1:4" ht="15.75" x14ac:dyDescent="0.25">
      <c r="A53" s="36" t="s">
        <v>45</v>
      </c>
      <c r="B53" s="36"/>
      <c r="C53" s="36"/>
      <c r="D53" s="36"/>
    </row>
    <row r="54" spans="1:4" x14ac:dyDescent="0.25">
      <c r="A54" s="16" t="s">
        <v>28</v>
      </c>
      <c r="B54" s="16" t="s">
        <v>29</v>
      </c>
      <c r="C54" s="16" t="s">
        <v>30</v>
      </c>
      <c r="D54" s="16" t="s">
        <v>31</v>
      </c>
    </row>
    <row r="55" spans="1:4" x14ac:dyDescent="0.25">
      <c r="A55" t="s">
        <v>2</v>
      </c>
      <c r="B55" s="3">
        <f>B4</f>
        <v>118446.34</v>
      </c>
      <c r="C55" s="3">
        <f>ROUND(B55*0.23,2)</f>
        <v>27242.66</v>
      </c>
      <c r="D55" s="3">
        <f>B55+C55</f>
        <v>145689</v>
      </c>
    </row>
    <row r="56" spans="1:4" x14ac:dyDescent="0.25">
      <c r="A56" t="s">
        <v>125</v>
      </c>
      <c r="B56" s="3">
        <f>ROUND(B19/(1+B5),2)</f>
        <v>1184.46</v>
      </c>
      <c r="C56" s="3">
        <f>ROUND(B56*0.23,2)</f>
        <v>272.43</v>
      </c>
      <c r="D56" s="3">
        <f>B56+C56</f>
        <v>1456.89</v>
      </c>
    </row>
    <row r="57" spans="1:4" x14ac:dyDescent="0.25">
      <c r="A57" t="s">
        <v>15</v>
      </c>
      <c r="B57" s="3">
        <f>ROUND(B20/(1+B5),2)</f>
        <v>10597.64</v>
      </c>
      <c r="C57" s="3">
        <f t="shared" ref="C57:C58" si="0">ROUND(B57*0.23,2)</f>
        <v>2437.46</v>
      </c>
      <c r="D57" s="3">
        <f t="shared" ref="D57:D58" si="1">B57+C57</f>
        <v>13035.099999999999</v>
      </c>
    </row>
    <row r="58" spans="1:4" x14ac:dyDescent="0.25">
      <c r="A58" t="s">
        <v>46</v>
      </c>
      <c r="B58" s="3">
        <f>ROUND(B21/(1+B5),2)</f>
        <v>1184.46</v>
      </c>
      <c r="C58" s="3">
        <f t="shared" si="0"/>
        <v>272.43</v>
      </c>
      <c r="D58" s="3">
        <f t="shared" si="1"/>
        <v>1456.89</v>
      </c>
    </row>
    <row r="59" spans="1:4" x14ac:dyDescent="0.25">
      <c r="A59" s="12" t="s">
        <v>34</v>
      </c>
      <c r="B59" s="4">
        <f>SUM(B55:B58)</f>
        <v>131412.9</v>
      </c>
      <c r="C59" s="4">
        <f>SUM(C55:C58)</f>
        <v>30224.98</v>
      </c>
      <c r="D59" s="4">
        <f>SUM(D55:D58)</f>
        <v>161637.88000000003</v>
      </c>
    </row>
    <row r="61" spans="1:4" x14ac:dyDescent="0.25">
      <c r="A61" s="12" t="s">
        <v>47</v>
      </c>
    </row>
    <row r="62" spans="1:4" x14ac:dyDescent="0.25">
      <c r="A62" t="s">
        <v>48</v>
      </c>
      <c r="B62" s="3">
        <f>B4</f>
        <v>118446.34</v>
      </c>
      <c r="C62" s="17" t="s">
        <v>49</v>
      </c>
    </row>
    <row r="63" spans="1:4" x14ac:dyDescent="0.25">
      <c r="A63" t="s">
        <v>125</v>
      </c>
      <c r="B63" s="3">
        <f>B56</f>
        <v>1184.46</v>
      </c>
      <c r="C63" s="8" t="s">
        <v>50</v>
      </c>
    </row>
    <row r="64" spans="1:4" x14ac:dyDescent="0.25">
      <c r="A64" t="s">
        <v>51</v>
      </c>
      <c r="B64" s="3">
        <f>B57</f>
        <v>10597.64</v>
      </c>
      <c r="C64" s="8" t="s">
        <v>52</v>
      </c>
    </row>
    <row r="65" spans="1:3" x14ac:dyDescent="0.25">
      <c r="A65" t="s">
        <v>46</v>
      </c>
      <c r="B65" s="3">
        <f>B58</f>
        <v>1184.46</v>
      </c>
      <c r="C65" s="8" t="s">
        <v>52</v>
      </c>
    </row>
    <row r="67" spans="1:3" x14ac:dyDescent="0.25">
      <c r="A67" s="12" t="s">
        <v>53</v>
      </c>
    </row>
    <row r="68" spans="1:3" x14ac:dyDescent="0.25">
      <c r="A68" t="s">
        <v>129</v>
      </c>
      <c r="B68" s="3">
        <f>B4+(ROUND(B4*B5/2,2))</f>
        <v>132067.66999999998</v>
      </c>
    </row>
    <row r="69" spans="1:3" x14ac:dyDescent="0.25">
      <c r="A69" t="s">
        <v>125</v>
      </c>
      <c r="B69" s="3">
        <f>B63+ROUND(B63*B5/2,2)</f>
        <v>1320.67</v>
      </c>
    </row>
    <row r="70" spans="1:3" x14ac:dyDescent="0.25">
      <c r="A70" t="s">
        <v>128</v>
      </c>
      <c r="B70" s="3">
        <f>B64+ROUND(B64*B5/2,2)</f>
        <v>11816.369999999999</v>
      </c>
    </row>
    <row r="71" spans="1:3" x14ac:dyDescent="0.25">
      <c r="A71" t="s">
        <v>54</v>
      </c>
      <c r="B71" s="3">
        <f>B65+ROUND(B65*B5/2,2)</f>
        <v>1320.67</v>
      </c>
    </row>
    <row r="72" spans="1:3" x14ac:dyDescent="0.25">
      <c r="A72" t="s">
        <v>55</v>
      </c>
      <c r="B72" s="4">
        <f>B68+B69+B70+B71</f>
        <v>146525.38</v>
      </c>
    </row>
    <row r="74" spans="1:3" x14ac:dyDescent="0.25">
      <c r="A74" t="s">
        <v>41</v>
      </c>
      <c r="B74" s="3">
        <f>(C55+C58)*B25</f>
        <v>13757.545</v>
      </c>
    </row>
    <row r="75" spans="1:3" x14ac:dyDescent="0.25">
      <c r="A75" t="s">
        <v>42</v>
      </c>
      <c r="B75" s="3">
        <f>B72*B31</f>
        <v>17583.045600000001</v>
      </c>
    </row>
    <row r="76" spans="1:3" x14ac:dyDescent="0.25">
      <c r="A76" t="s">
        <v>127</v>
      </c>
      <c r="B76" s="29">
        <f>B72*B32</f>
        <v>13187.2842</v>
      </c>
      <c r="C76" s="13"/>
    </row>
    <row r="77" spans="1:3" x14ac:dyDescent="0.25">
      <c r="A77" t="s">
        <v>43</v>
      </c>
      <c r="B77" s="3">
        <f>B75+B76</f>
        <v>30770.3298</v>
      </c>
    </row>
    <row r="78" spans="1:3" x14ac:dyDescent="0.25">
      <c r="A78" t="s">
        <v>44</v>
      </c>
      <c r="B78" s="15">
        <f>B74+B77</f>
        <v>44527.874799999998</v>
      </c>
    </row>
    <row r="80" spans="1:3" ht="15.75" x14ac:dyDescent="0.25">
      <c r="A80" s="32" t="s">
        <v>56</v>
      </c>
      <c r="B80" s="32"/>
      <c r="C80" s="32"/>
    </row>
    <row r="81" spans="1:3" x14ac:dyDescent="0.25">
      <c r="A81" s="18" t="s">
        <v>28</v>
      </c>
      <c r="B81" s="18" t="s">
        <v>57</v>
      </c>
      <c r="C81" s="30" t="s">
        <v>58</v>
      </c>
    </row>
    <row r="82" spans="1:3" x14ac:dyDescent="0.25">
      <c r="A82" t="s">
        <v>59</v>
      </c>
      <c r="B82" s="3">
        <f>B16</f>
        <v>158033.13</v>
      </c>
      <c r="C82" s="3">
        <f>B22</f>
        <v>161637.88000000003</v>
      </c>
    </row>
    <row r="83" spans="1:3" x14ac:dyDescent="0.25">
      <c r="A83" t="s">
        <v>60</v>
      </c>
      <c r="B83" s="3">
        <f>B52</f>
        <v>39471.315000000002</v>
      </c>
      <c r="C83" s="25">
        <f>B78</f>
        <v>44527.874799999998</v>
      </c>
    </row>
    <row r="84" spans="1:3" x14ac:dyDescent="0.25">
      <c r="A84" t="s">
        <v>61</v>
      </c>
      <c r="B84" s="4">
        <f>B82-B83</f>
        <v>118561.815</v>
      </c>
      <c r="C84" s="4">
        <f>C82-C83</f>
        <v>117110.00520000004</v>
      </c>
    </row>
    <row r="85" spans="1:3" x14ac:dyDescent="0.25">
      <c r="A85" t="s">
        <v>62</v>
      </c>
      <c r="B85" s="15">
        <f>C84-B84</f>
        <v>-1451.8097999999591</v>
      </c>
      <c r="C85" s="8" t="s">
        <v>63</v>
      </c>
    </row>
    <row r="87" spans="1:3" x14ac:dyDescent="0.25">
      <c r="A87" s="19" t="s">
        <v>64</v>
      </c>
    </row>
    <row r="88" spans="1:3" x14ac:dyDescent="0.25">
      <c r="A88" s="26" t="s">
        <v>132</v>
      </c>
    </row>
    <row r="90" spans="1:3" x14ac:dyDescent="0.25">
      <c r="A90" s="20"/>
    </row>
    <row r="91" spans="1:3" x14ac:dyDescent="0.25">
      <c r="A91" s="13"/>
    </row>
    <row r="92" spans="1:3" x14ac:dyDescent="0.25">
      <c r="A92" s="13"/>
    </row>
    <row r="93" spans="1:3" x14ac:dyDescent="0.25">
      <c r="A93" s="13"/>
    </row>
    <row r="94" spans="1:3" x14ac:dyDescent="0.25">
      <c r="A94" s="13"/>
    </row>
  </sheetData>
  <mergeCells count="6">
    <mergeCell ref="A80:C80"/>
    <mergeCell ref="A1:H1"/>
    <mergeCell ref="A3:B3"/>
    <mergeCell ref="A24:B24"/>
    <mergeCell ref="A34:D34"/>
    <mergeCell ref="A53:D53"/>
  </mergeCells>
  <pageMargins left="0.75" right="0.75" top="1" bottom="1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6"/>
  <sheetViews>
    <sheetView zoomScaleNormal="100" workbookViewId="0"/>
  </sheetViews>
  <sheetFormatPr defaultColWidth="8.7109375" defaultRowHeight="15" x14ac:dyDescent="0.25"/>
  <cols>
    <col min="1" max="1" width="65" customWidth="1"/>
    <col min="2" max="2" width="16" customWidth="1"/>
    <col min="3" max="5" width="14" customWidth="1"/>
    <col min="6" max="6" width="25" customWidth="1"/>
    <col min="7" max="7" width="35" customWidth="1"/>
    <col min="8" max="8" width="19" customWidth="1"/>
  </cols>
  <sheetData>
    <row r="1" spans="1:8" ht="18" x14ac:dyDescent="0.25">
      <c r="A1" s="33" t="s">
        <v>65</v>
      </c>
      <c r="B1" s="33"/>
      <c r="C1" s="33"/>
      <c r="D1" s="33"/>
      <c r="E1" s="33"/>
      <c r="F1" s="33"/>
      <c r="G1" s="33"/>
      <c r="H1" s="33"/>
    </row>
    <row r="3" spans="1:8" x14ac:dyDescent="0.25">
      <c r="A3" s="6" t="s">
        <v>66</v>
      </c>
      <c r="B3" s="6" t="s">
        <v>67</v>
      </c>
      <c r="C3" s="6" t="s">
        <v>68</v>
      </c>
      <c r="D3" s="6" t="s">
        <v>69</v>
      </c>
      <c r="E3" s="6" t="s">
        <v>30</v>
      </c>
      <c r="F3" s="6" t="s">
        <v>70</v>
      </c>
      <c r="G3" s="6" t="s">
        <v>71</v>
      </c>
      <c r="H3" s="6" t="s">
        <v>72</v>
      </c>
    </row>
    <row r="4" spans="1:8" x14ac:dyDescent="0.25">
      <c r="A4">
        <v>1</v>
      </c>
      <c r="B4" t="s">
        <v>73</v>
      </c>
      <c r="C4" s="3">
        <v>3116.59</v>
      </c>
      <c r="D4" s="3">
        <f t="shared" ref="D4:D27" si="0">C4/1.23</f>
        <v>2533.8130081300815</v>
      </c>
      <c r="E4" s="3">
        <f t="shared" ref="E4:E27" si="1">C4-D4</f>
        <v>582.77699186991867</v>
      </c>
      <c r="F4" s="3">
        <f t="shared" ref="F4:F27" si="2">E4*0.5</f>
        <v>291.38849593495934</v>
      </c>
      <c r="G4" s="3">
        <f>D4*'Porównanie leasingów'!$B$29</f>
        <v>1918.6032097560976</v>
      </c>
      <c r="H4" s="3">
        <f t="shared" ref="H4:H27" si="3">D4-G4</f>
        <v>615.20979837398386</v>
      </c>
    </row>
    <row r="5" spans="1:8" x14ac:dyDescent="0.25">
      <c r="A5">
        <v>2</v>
      </c>
      <c r="B5" t="s">
        <v>74</v>
      </c>
      <c r="C5" s="3">
        <v>3116.59</v>
      </c>
      <c r="D5" s="3">
        <f t="shared" si="0"/>
        <v>2533.8130081300815</v>
      </c>
      <c r="E5" s="3">
        <f t="shared" si="1"/>
        <v>582.77699186991867</v>
      </c>
      <c r="F5" s="3">
        <f t="shared" si="2"/>
        <v>291.38849593495934</v>
      </c>
      <c r="G5" s="3">
        <f>D5*'Porównanie leasingów'!$B$29</f>
        <v>1918.6032097560976</v>
      </c>
      <c r="H5" s="3">
        <f t="shared" si="3"/>
        <v>615.20979837398386</v>
      </c>
    </row>
    <row r="6" spans="1:8" x14ac:dyDescent="0.25">
      <c r="A6">
        <v>3</v>
      </c>
      <c r="B6" t="s">
        <v>75</v>
      </c>
      <c r="C6" s="3">
        <v>3116.59</v>
      </c>
      <c r="D6" s="3">
        <f t="shared" si="0"/>
        <v>2533.8130081300815</v>
      </c>
      <c r="E6" s="3">
        <f t="shared" si="1"/>
        <v>582.77699186991867</v>
      </c>
      <c r="F6" s="3">
        <f t="shared" si="2"/>
        <v>291.38849593495934</v>
      </c>
      <c r="G6" s="3">
        <f>D6*'Porównanie leasingów'!$B$29</f>
        <v>1918.6032097560976</v>
      </c>
      <c r="H6" s="3">
        <f t="shared" si="3"/>
        <v>615.20979837398386</v>
      </c>
    </row>
    <row r="7" spans="1:8" x14ac:dyDescent="0.25">
      <c r="A7">
        <v>4</v>
      </c>
      <c r="B7" t="s">
        <v>76</v>
      </c>
      <c r="C7" s="3">
        <v>3116.59</v>
      </c>
      <c r="D7" s="3">
        <f t="shared" si="0"/>
        <v>2533.8130081300815</v>
      </c>
      <c r="E7" s="3">
        <f t="shared" si="1"/>
        <v>582.77699186991867</v>
      </c>
      <c r="F7" s="3">
        <f t="shared" si="2"/>
        <v>291.38849593495934</v>
      </c>
      <c r="G7" s="3">
        <f>D7*'Porównanie leasingów'!$B$29</f>
        <v>1918.6032097560976</v>
      </c>
      <c r="H7" s="3">
        <f t="shared" si="3"/>
        <v>615.20979837398386</v>
      </c>
    </row>
    <row r="8" spans="1:8" x14ac:dyDescent="0.25">
      <c r="A8">
        <v>5</v>
      </c>
      <c r="B8" t="s">
        <v>77</v>
      </c>
      <c r="C8" s="3">
        <v>3116.59</v>
      </c>
      <c r="D8" s="3">
        <f t="shared" si="0"/>
        <v>2533.8130081300815</v>
      </c>
      <c r="E8" s="3">
        <f t="shared" si="1"/>
        <v>582.77699186991867</v>
      </c>
      <c r="F8" s="3">
        <f t="shared" si="2"/>
        <v>291.38849593495934</v>
      </c>
      <c r="G8" s="3">
        <f>D8*'Porównanie leasingów'!$B$29</f>
        <v>1918.6032097560976</v>
      </c>
      <c r="H8" s="3">
        <f t="shared" si="3"/>
        <v>615.20979837398386</v>
      </c>
    </row>
    <row r="9" spans="1:8" x14ac:dyDescent="0.25">
      <c r="A9">
        <v>6</v>
      </c>
      <c r="B9" t="s">
        <v>78</v>
      </c>
      <c r="C9" s="3">
        <v>3116.59</v>
      </c>
      <c r="D9" s="3">
        <f t="shared" si="0"/>
        <v>2533.8130081300815</v>
      </c>
      <c r="E9" s="3">
        <f t="shared" si="1"/>
        <v>582.77699186991867</v>
      </c>
      <c r="F9" s="3">
        <f t="shared" si="2"/>
        <v>291.38849593495934</v>
      </c>
      <c r="G9" s="3">
        <f>D9*'Porównanie leasingów'!$B$29</f>
        <v>1918.6032097560976</v>
      </c>
      <c r="H9" s="3">
        <f t="shared" si="3"/>
        <v>615.20979837398386</v>
      </c>
    </row>
    <row r="10" spans="1:8" x14ac:dyDescent="0.25">
      <c r="A10">
        <v>7</v>
      </c>
      <c r="B10" t="s">
        <v>79</v>
      </c>
      <c r="C10" s="3">
        <v>3116.59</v>
      </c>
      <c r="D10" s="3">
        <f t="shared" si="0"/>
        <v>2533.8130081300815</v>
      </c>
      <c r="E10" s="3">
        <f t="shared" si="1"/>
        <v>582.77699186991867</v>
      </c>
      <c r="F10" s="3">
        <f t="shared" si="2"/>
        <v>291.38849593495934</v>
      </c>
      <c r="G10" s="3">
        <f>D10*'Porównanie leasingów'!$B$29</f>
        <v>1918.6032097560976</v>
      </c>
      <c r="H10" s="3">
        <f t="shared" si="3"/>
        <v>615.20979837398386</v>
      </c>
    </row>
    <row r="11" spans="1:8" x14ac:dyDescent="0.25">
      <c r="A11">
        <v>8</v>
      </c>
      <c r="B11" t="s">
        <v>80</v>
      </c>
      <c r="C11" s="3">
        <v>3116.59</v>
      </c>
      <c r="D11" s="3">
        <f t="shared" si="0"/>
        <v>2533.8130081300815</v>
      </c>
      <c r="E11" s="3">
        <f t="shared" si="1"/>
        <v>582.77699186991867</v>
      </c>
      <c r="F11" s="3">
        <f t="shared" si="2"/>
        <v>291.38849593495934</v>
      </c>
      <c r="G11" s="3">
        <f>D11*'Porównanie leasingów'!$B$29</f>
        <v>1918.6032097560976</v>
      </c>
      <c r="H11" s="3">
        <f t="shared" si="3"/>
        <v>615.20979837398386</v>
      </c>
    </row>
    <row r="12" spans="1:8" x14ac:dyDescent="0.25">
      <c r="A12">
        <v>9</v>
      </c>
      <c r="B12" t="s">
        <v>81</v>
      </c>
      <c r="C12" s="3">
        <v>3116.59</v>
      </c>
      <c r="D12" s="3">
        <f t="shared" si="0"/>
        <v>2533.8130081300815</v>
      </c>
      <c r="E12" s="3">
        <f t="shared" si="1"/>
        <v>582.77699186991867</v>
      </c>
      <c r="F12" s="3">
        <f t="shared" si="2"/>
        <v>291.38849593495934</v>
      </c>
      <c r="G12" s="3">
        <f>D12*'Porównanie leasingów'!$B$29</f>
        <v>1918.6032097560976</v>
      </c>
      <c r="H12" s="3">
        <f t="shared" si="3"/>
        <v>615.20979837398386</v>
      </c>
    </row>
    <row r="13" spans="1:8" x14ac:dyDescent="0.25">
      <c r="A13">
        <v>10</v>
      </c>
      <c r="B13" t="s">
        <v>82</v>
      </c>
      <c r="C13" s="3">
        <v>3116.59</v>
      </c>
      <c r="D13" s="3">
        <f t="shared" si="0"/>
        <v>2533.8130081300815</v>
      </c>
      <c r="E13" s="3">
        <f t="shared" si="1"/>
        <v>582.77699186991867</v>
      </c>
      <c r="F13" s="3">
        <f t="shared" si="2"/>
        <v>291.38849593495934</v>
      </c>
      <c r="G13" s="3">
        <f>D13*'Porównanie leasingów'!$B$29</f>
        <v>1918.6032097560976</v>
      </c>
      <c r="H13" s="3">
        <f t="shared" si="3"/>
        <v>615.20979837398386</v>
      </c>
    </row>
    <row r="14" spans="1:8" x14ac:dyDescent="0.25">
      <c r="A14">
        <v>11</v>
      </c>
      <c r="B14" t="s">
        <v>83</v>
      </c>
      <c r="C14" s="3">
        <v>3116.59</v>
      </c>
      <c r="D14" s="3">
        <f t="shared" si="0"/>
        <v>2533.8130081300815</v>
      </c>
      <c r="E14" s="3">
        <f t="shared" si="1"/>
        <v>582.77699186991867</v>
      </c>
      <c r="F14" s="3">
        <f t="shared" si="2"/>
        <v>291.38849593495934</v>
      </c>
      <c r="G14" s="3">
        <f>D14*'Porównanie leasingów'!$B$29</f>
        <v>1918.6032097560976</v>
      </c>
      <c r="H14" s="3">
        <f t="shared" si="3"/>
        <v>615.20979837398386</v>
      </c>
    </row>
    <row r="15" spans="1:8" x14ac:dyDescent="0.25">
      <c r="A15">
        <v>12</v>
      </c>
      <c r="B15" t="s">
        <v>84</v>
      </c>
      <c r="C15" s="3">
        <v>3116.59</v>
      </c>
      <c r="D15" s="3">
        <f t="shared" si="0"/>
        <v>2533.8130081300815</v>
      </c>
      <c r="E15" s="3">
        <f t="shared" si="1"/>
        <v>582.77699186991867</v>
      </c>
      <c r="F15" s="3">
        <f t="shared" si="2"/>
        <v>291.38849593495934</v>
      </c>
      <c r="G15" s="3">
        <f>D15*'Porównanie leasingów'!$B$29</f>
        <v>1918.6032097560976</v>
      </c>
      <c r="H15" s="3">
        <f t="shared" si="3"/>
        <v>615.20979837398386</v>
      </c>
    </row>
    <row r="16" spans="1:8" x14ac:dyDescent="0.25">
      <c r="A16">
        <v>13</v>
      </c>
      <c r="B16" t="s">
        <v>85</v>
      </c>
      <c r="C16" s="3">
        <v>3116.59</v>
      </c>
      <c r="D16" s="3">
        <f t="shared" si="0"/>
        <v>2533.8130081300815</v>
      </c>
      <c r="E16" s="3">
        <f t="shared" si="1"/>
        <v>582.77699186991867</v>
      </c>
      <c r="F16" s="3">
        <f t="shared" si="2"/>
        <v>291.38849593495934</v>
      </c>
      <c r="G16" s="3">
        <f>D16*'Porównanie leasingów'!$B$29</f>
        <v>1918.6032097560976</v>
      </c>
      <c r="H16" s="3">
        <f t="shared" si="3"/>
        <v>615.20979837398386</v>
      </c>
    </row>
    <row r="17" spans="1:8" x14ac:dyDescent="0.25">
      <c r="A17">
        <v>14</v>
      </c>
      <c r="B17" t="s">
        <v>86</v>
      </c>
      <c r="C17" s="3">
        <v>3116.59</v>
      </c>
      <c r="D17" s="3">
        <f t="shared" si="0"/>
        <v>2533.8130081300815</v>
      </c>
      <c r="E17" s="3">
        <f t="shared" si="1"/>
        <v>582.77699186991867</v>
      </c>
      <c r="F17" s="3">
        <f t="shared" si="2"/>
        <v>291.38849593495934</v>
      </c>
      <c r="G17" s="3">
        <f>D17*'Porównanie leasingów'!$B$29</f>
        <v>1918.6032097560976</v>
      </c>
      <c r="H17" s="3">
        <f t="shared" si="3"/>
        <v>615.20979837398386</v>
      </c>
    </row>
    <row r="18" spans="1:8" x14ac:dyDescent="0.25">
      <c r="A18">
        <v>15</v>
      </c>
      <c r="B18" t="s">
        <v>87</v>
      </c>
      <c r="C18" s="3">
        <v>3116.59</v>
      </c>
      <c r="D18" s="3">
        <f t="shared" si="0"/>
        <v>2533.8130081300815</v>
      </c>
      <c r="E18" s="3">
        <f t="shared" si="1"/>
        <v>582.77699186991867</v>
      </c>
      <c r="F18" s="3">
        <f t="shared" si="2"/>
        <v>291.38849593495934</v>
      </c>
      <c r="G18" s="3">
        <f>D18*'Porównanie leasingów'!$B$29</f>
        <v>1918.6032097560976</v>
      </c>
      <c r="H18" s="3">
        <f t="shared" si="3"/>
        <v>615.20979837398386</v>
      </c>
    </row>
    <row r="19" spans="1:8" x14ac:dyDescent="0.25">
      <c r="A19">
        <v>16</v>
      </c>
      <c r="B19" t="s">
        <v>88</v>
      </c>
      <c r="C19" s="3">
        <v>3116.59</v>
      </c>
      <c r="D19" s="3">
        <f t="shared" si="0"/>
        <v>2533.8130081300815</v>
      </c>
      <c r="E19" s="3">
        <f t="shared" si="1"/>
        <v>582.77699186991867</v>
      </c>
      <c r="F19" s="3">
        <f t="shared" si="2"/>
        <v>291.38849593495934</v>
      </c>
      <c r="G19" s="3">
        <f>D19*'Porównanie leasingów'!$B$29</f>
        <v>1918.6032097560976</v>
      </c>
      <c r="H19" s="3">
        <f t="shared" si="3"/>
        <v>615.20979837398386</v>
      </c>
    </row>
    <row r="20" spans="1:8" x14ac:dyDescent="0.25">
      <c r="A20">
        <v>17</v>
      </c>
      <c r="B20" t="s">
        <v>89</v>
      </c>
      <c r="C20" s="3">
        <v>3116.59</v>
      </c>
      <c r="D20" s="3">
        <f t="shared" si="0"/>
        <v>2533.8130081300815</v>
      </c>
      <c r="E20" s="3">
        <f t="shared" si="1"/>
        <v>582.77699186991867</v>
      </c>
      <c r="F20" s="3">
        <f t="shared" si="2"/>
        <v>291.38849593495934</v>
      </c>
      <c r="G20" s="3">
        <f>D20*'Porównanie leasingów'!$B$29</f>
        <v>1918.6032097560976</v>
      </c>
      <c r="H20" s="3">
        <f t="shared" si="3"/>
        <v>615.20979837398386</v>
      </c>
    </row>
    <row r="21" spans="1:8" x14ac:dyDescent="0.25">
      <c r="A21">
        <v>18</v>
      </c>
      <c r="B21" t="s">
        <v>90</v>
      </c>
      <c r="C21" s="3">
        <v>3116.59</v>
      </c>
      <c r="D21" s="3">
        <f t="shared" si="0"/>
        <v>2533.8130081300815</v>
      </c>
      <c r="E21" s="3">
        <f t="shared" si="1"/>
        <v>582.77699186991867</v>
      </c>
      <c r="F21" s="3">
        <f t="shared" si="2"/>
        <v>291.38849593495934</v>
      </c>
      <c r="G21" s="3">
        <f>D21*'Porównanie leasingów'!$B$29</f>
        <v>1918.6032097560976</v>
      </c>
      <c r="H21" s="3">
        <f t="shared" si="3"/>
        <v>615.20979837398386</v>
      </c>
    </row>
    <row r="22" spans="1:8" x14ac:dyDescent="0.25">
      <c r="A22">
        <v>19</v>
      </c>
      <c r="B22" t="s">
        <v>91</v>
      </c>
      <c r="C22" s="3">
        <v>3116.59</v>
      </c>
      <c r="D22" s="3">
        <f t="shared" si="0"/>
        <v>2533.8130081300815</v>
      </c>
      <c r="E22" s="3">
        <f t="shared" si="1"/>
        <v>582.77699186991867</v>
      </c>
      <c r="F22" s="3">
        <f t="shared" si="2"/>
        <v>291.38849593495934</v>
      </c>
      <c r="G22" s="3">
        <f>D22*'Porównanie leasingów'!$B$29</f>
        <v>1918.6032097560976</v>
      </c>
      <c r="H22" s="3">
        <f t="shared" si="3"/>
        <v>615.20979837398386</v>
      </c>
    </row>
    <row r="23" spans="1:8" x14ac:dyDescent="0.25">
      <c r="A23">
        <v>20</v>
      </c>
      <c r="B23" t="s">
        <v>92</v>
      </c>
      <c r="C23" s="3">
        <v>3116.59</v>
      </c>
      <c r="D23" s="3">
        <f t="shared" si="0"/>
        <v>2533.8130081300815</v>
      </c>
      <c r="E23" s="3">
        <f t="shared" si="1"/>
        <v>582.77699186991867</v>
      </c>
      <c r="F23" s="3">
        <f t="shared" si="2"/>
        <v>291.38849593495934</v>
      </c>
      <c r="G23" s="3">
        <f>D23*'Porównanie leasingów'!$B$29</f>
        <v>1918.6032097560976</v>
      </c>
      <c r="H23" s="3">
        <f t="shared" si="3"/>
        <v>615.20979837398386</v>
      </c>
    </row>
    <row r="24" spans="1:8" x14ac:dyDescent="0.25">
      <c r="A24">
        <v>21</v>
      </c>
      <c r="B24" t="s">
        <v>93</v>
      </c>
      <c r="C24" s="3">
        <v>3116.59</v>
      </c>
      <c r="D24" s="3">
        <f t="shared" si="0"/>
        <v>2533.8130081300815</v>
      </c>
      <c r="E24" s="3">
        <f t="shared" si="1"/>
        <v>582.77699186991867</v>
      </c>
      <c r="F24" s="3">
        <f t="shared" si="2"/>
        <v>291.38849593495934</v>
      </c>
      <c r="G24" s="3">
        <f>D24*'Porównanie leasingów'!$B$29</f>
        <v>1918.6032097560976</v>
      </c>
      <c r="H24" s="3">
        <f t="shared" si="3"/>
        <v>615.20979837398386</v>
      </c>
    </row>
    <row r="25" spans="1:8" x14ac:dyDescent="0.25">
      <c r="A25">
        <v>22</v>
      </c>
      <c r="B25" t="s">
        <v>94</v>
      </c>
      <c r="C25" s="3">
        <v>3116.59</v>
      </c>
      <c r="D25" s="3">
        <f t="shared" si="0"/>
        <v>2533.8130081300815</v>
      </c>
      <c r="E25" s="3">
        <f t="shared" si="1"/>
        <v>582.77699186991867</v>
      </c>
      <c r="F25" s="3">
        <f t="shared" si="2"/>
        <v>291.38849593495934</v>
      </c>
      <c r="G25" s="3">
        <f>D25*'Porównanie leasingów'!$B$29</f>
        <v>1918.6032097560976</v>
      </c>
      <c r="H25" s="3">
        <f t="shared" si="3"/>
        <v>615.20979837398386</v>
      </c>
    </row>
    <row r="26" spans="1:8" x14ac:dyDescent="0.25">
      <c r="A26">
        <v>23</v>
      </c>
      <c r="B26" t="s">
        <v>95</v>
      </c>
      <c r="C26" s="3">
        <v>3116.59</v>
      </c>
      <c r="D26" s="3">
        <f t="shared" si="0"/>
        <v>2533.8130081300815</v>
      </c>
      <c r="E26" s="3">
        <f t="shared" si="1"/>
        <v>582.77699186991867</v>
      </c>
      <c r="F26" s="3">
        <f t="shared" si="2"/>
        <v>291.38849593495934</v>
      </c>
      <c r="G26" s="3">
        <f>D26*'Porównanie leasingów'!$B$29</f>
        <v>1918.6032097560976</v>
      </c>
      <c r="H26" s="3">
        <f t="shared" si="3"/>
        <v>615.20979837398386</v>
      </c>
    </row>
    <row r="27" spans="1:8" x14ac:dyDescent="0.25">
      <c r="A27">
        <v>24</v>
      </c>
      <c r="B27" t="s">
        <v>96</v>
      </c>
      <c r="C27" s="3">
        <v>3116.59</v>
      </c>
      <c r="D27" s="3">
        <f t="shared" si="0"/>
        <v>2533.8130081300815</v>
      </c>
      <c r="E27" s="3">
        <f t="shared" si="1"/>
        <v>582.77699186991867</v>
      </c>
      <c r="F27" s="3">
        <f t="shared" si="2"/>
        <v>291.38849593495934</v>
      </c>
      <c r="G27" s="3">
        <f>D27*'Porównanie leasingów'!$B$29</f>
        <v>1918.6032097560976</v>
      </c>
      <c r="H27" s="3">
        <f t="shared" si="3"/>
        <v>615.20979837398386</v>
      </c>
    </row>
    <row r="28" spans="1:8" x14ac:dyDescent="0.25">
      <c r="A28" s="12" t="s">
        <v>97</v>
      </c>
      <c r="C28" s="15">
        <f t="shared" ref="C28:H28" si="4">SUM(C4:C27)</f>
        <v>74798.15999999996</v>
      </c>
      <c r="D28" s="15">
        <f t="shared" si="4"/>
        <v>60811.512195121977</v>
      </c>
      <c r="E28" s="15">
        <f t="shared" si="4"/>
        <v>13986.647804878055</v>
      </c>
      <c r="F28" s="15">
        <f t="shared" si="4"/>
        <v>6993.3239024390277</v>
      </c>
      <c r="G28" s="15">
        <f t="shared" si="4"/>
        <v>46046.47703414633</v>
      </c>
      <c r="H28" s="15">
        <f t="shared" si="4"/>
        <v>14765.035160975616</v>
      </c>
    </row>
    <row r="30" spans="1:8" x14ac:dyDescent="0.25">
      <c r="A30" s="12" t="s">
        <v>98</v>
      </c>
      <c r="C30" s="4">
        <v>22504.799999999999</v>
      </c>
      <c r="D30" s="4">
        <f>C30/1.23</f>
        <v>18296.585365853658</v>
      </c>
      <c r="E30" s="4">
        <f>C30-D30</f>
        <v>4208.2146341463413</v>
      </c>
      <c r="F30" s="4">
        <f>E30*0.5</f>
        <v>2104.1073170731706</v>
      </c>
    </row>
    <row r="32" spans="1:8" x14ac:dyDescent="0.25">
      <c r="A32" s="12" t="s">
        <v>99</v>
      </c>
      <c r="C32" s="15">
        <f>C28+C30</f>
        <v>97302.959999999963</v>
      </c>
      <c r="D32" s="15">
        <f>D28+D30</f>
        <v>79108.097560975642</v>
      </c>
      <c r="E32" s="15">
        <f>E28+E30</f>
        <v>18194.862439024397</v>
      </c>
      <c r="F32" s="15">
        <f>F28+F30</f>
        <v>9097.4312195121984</v>
      </c>
    </row>
    <row r="34" spans="1:1" x14ac:dyDescent="0.25">
      <c r="A34" s="20" t="s">
        <v>100</v>
      </c>
    </row>
    <row r="35" spans="1:1" x14ac:dyDescent="0.25">
      <c r="A35" s="13" t="s">
        <v>101</v>
      </c>
    </row>
    <row r="36" spans="1:1" x14ac:dyDescent="0.25">
      <c r="A36" s="13" t="s">
        <v>102</v>
      </c>
    </row>
  </sheetData>
  <mergeCells count="1">
    <mergeCell ref="A1:H1"/>
  </mergeCells>
  <pageMargins left="0.75" right="0.75" top="1" bottom="1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7"/>
  <sheetViews>
    <sheetView zoomScaleNormal="100" workbookViewId="0"/>
  </sheetViews>
  <sheetFormatPr defaultColWidth="8.7109375" defaultRowHeight="15" x14ac:dyDescent="0.25"/>
  <cols>
    <col min="1" max="1" width="59" customWidth="1"/>
    <col min="2" max="2" width="16" customWidth="1"/>
    <col min="3" max="5" width="14" customWidth="1"/>
    <col min="6" max="6" width="25" customWidth="1"/>
    <col min="7" max="7" width="40" customWidth="1"/>
  </cols>
  <sheetData>
    <row r="1" spans="1:7" ht="18" x14ac:dyDescent="0.25">
      <c r="A1" s="33" t="s">
        <v>103</v>
      </c>
      <c r="B1" s="33"/>
      <c r="C1" s="33"/>
      <c r="D1" s="33"/>
      <c r="E1" s="33"/>
      <c r="F1" s="33"/>
      <c r="G1" s="33"/>
    </row>
    <row r="3" spans="1:7" x14ac:dyDescent="0.25">
      <c r="A3" s="7" t="s">
        <v>66</v>
      </c>
      <c r="B3" s="7" t="s">
        <v>67</v>
      </c>
      <c r="C3" s="7" t="s">
        <v>68</v>
      </c>
      <c r="D3" s="7" t="s">
        <v>69</v>
      </c>
      <c r="E3" s="7" t="s">
        <v>30</v>
      </c>
      <c r="F3" s="7" t="s">
        <v>70</v>
      </c>
      <c r="G3" s="7" t="s">
        <v>104</v>
      </c>
    </row>
    <row r="4" spans="1:7" x14ac:dyDescent="0.25">
      <c r="A4">
        <v>1</v>
      </c>
      <c r="B4" t="s">
        <v>73</v>
      </c>
      <c r="C4" s="3">
        <v>3116.59</v>
      </c>
      <c r="D4" s="3">
        <f t="shared" ref="D4:D27" si="0">C4/1.23</f>
        <v>2533.8130081300815</v>
      </c>
      <c r="E4" s="3">
        <f t="shared" ref="E4:E27" si="1">C4-D4</f>
        <v>582.77699186991867</v>
      </c>
      <c r="F4" s="3">
        <f t="shared" ref="F4:F27" si="2">E4*0.5</f>
        <v>291.38849593495934</v>
      </c>
      <c r="G4" s="3">
        <f>(D4-'Porównanie leasingów'!$B$19/24)</f>
        <v>2473.1092581300813</v>
      </c>
    </row>
    <row r="5" spans="1:7" x14ac:dyDescent="0.25">
      <c r="A5">
        <v>2</v>
      </c>
      <c r="B5" t="s">
        <v>74</v>
      </c>
      <c r="C5" s="3">
        <v>3116.59</v>
      </c>
      <c r="D5" s="3">
        <f t="shared" si="0"/>
        <v>2533.8130081300815</v>
      </c>
      <c r="E5" s="3">
        <f t="shared" si="1"/>
        <v>582.77699186991867</v>
      </c>
      <c r="F5" s="3">
        <f t="shared" si="2"/>
        <v>291.38849593495934</v>
      </c>
      <c r="G5" s="3">
        <f>(D5-'Porównanie leasingów'!$B$19/24)</f>
        <v>2473.1092581300813</v>
      </c>
    </row>
    <row r="6" spans="1:7" x14ac:dyDescent="0.25">
      <c r="A6">
        <v>3</v>
      </c>
      <c r="B6" t="s">
        <v>75</v>
      </c>
      <c r="C6" s="3">
        <v>3116.59</v>
      </c>
      <c r="D6" s="3">
        <f t="shared" si="0"/>
        <v>2533.8130081300815</v>
      </c>
      <c r="E6" s="3">
        <f t="shared" si="1"/>
        <v>582.77699186991867</v>
      </c>
      <c r="F6" s="3">
        <f t="shared" si="2"/>
        <v>291.38849593495934</v>
      </c>
      <c r="G6" s="3">
        <f>(D6-'Porównanie leasingów'!$B$19/24)</f>
        <v>2473.1092581300813</v>
      </c>
    </row>
    <row r="7" spans="1:7" x14ac:dyDescent="0.25">
      <c r="A7">
        <v>4</v>
      </c>
      <c r="B7" t="s">
        <v>76</v>
      </c>
      <c r="C7" s="3">
        <v>3116.59</v>
      </c>
      <c r="D7" s="3">
        <f t="shared" si="0"/>
        <v>2533.8130081300815</v>
      </c>
      <c r="E7" s="3">
        <f t="shared" si="1"/>
        <v>582.77699186991867</v>
      </c>
      <c r="F7" s="3">
        <f t="shared" si="2"/>
        <v>291.38849593495934</v>
      </c>
      <c r="G7" s="3">
        <f>(D7-'Porównanie leasingów'!$B$19/24)</f>
        <v>2473.1092581300813</v>
      </c>
    </row>
    <row r="8" spans="1:7" x14ac:dyDescent="0.25">
      <c r="A8">
        <v>5</v>
      </c>
      <c r="B8" t="s">
        <v>77</v>
      </c>
      <c r="C8" s="3">
        <v>3116.59</v>
      </c>
      <c r="D8" s="3">
        <f t="shared" si="0"/>
        <v>2533.8130081300815</v>
      </c>
      <c r="E8" s="3">
        <f t="shared" si="1"/>
        <v>582.77699186991867</v>
      </c>
      <c r="F8" s="3">
        <f t="shared" si="2"/>
        <v>291.38849593495934</v>
      </c>
      <c r="G8" s="3">
        <f>(D8-'Porównanie leasingów'!$B$19/24)</f>
        <v>2473.1092581300813</v>
      </c>
    </row>
    <row r="9" spans="1:7" x14ac:dyDescent="0.25">
      <c r="A9">
        <v>6</v>
      </c>
      <c r="B9" t="s">
        <v>78</v>
      </c>
      <c r="C9" s="3">
        <v>3116.59</v>
      </c>
      <c r="D9" s="3">
        <f t="shared" si="0"/>
        <v>2533.8130081300815</v>
      </c>
      <c r="E9" s="3">
        <f t="shared" si="1"/>
        <v>582.77699186991867</v>
      </c>
      <c r="F9" s="3">
        <f t="shared" si="2"/>
        <v>291.38849593495934</v>
      </c>
      <c r="G9" s="3">
        <f>(D9-'Porównanie leasingów'!$B$19/24)</f>
        <v>2473.1092581300813</v>
      </c>
    </row>
    <row r="10" spans="1:7" x14ac:dyDescent="0.25">
      <c r="A10">
        <v>7</v>
      </c>
      <c r="B10" t="s">
        <v>79</v>
      </c>
      <c r="C10" s="3">
        <v>3116.59</v>
      </c>
      <c r="D10" s="3">
        <f t="shared" si="0"/>
        <v>2533.8130081300815</v>
      </c>
      <c r="E10" s="3">
        <f t="shared" si="1"/>
        <v>582.77699186991867</v>
      </c>
      <c r="F10" s="3">
        <f t="shared" si="2"/>
        <v>291.38849593495934</v>
      </c>
      <c r="G10" s="3">
        <f>(D10-'Porównanie leasingów'!$B$19/24)</f>
        <v>2473.1092581300813</v>
      </c>
    </row>
    <row r="11" spans="1:7" x14ac:dyDescent="0.25">
      <c r="A11">
        <v>8</v>
      </c>
      <c r="B11" t="s">
        <v>80</v>
      </c>
      <c r="C11" s="3">
        <v>3116.59</v>
      </c>
      <c r="D11" s="3">
        <f t="shared" si="0"/>
        <v>2533.8130081300815</v>
      </c>
      <c r="E11" s="3">
        <f t="shared" si="1"/>
        <v>582.77699186991867</v>
      </c>
      <c r="F11" s="3">
        <f t="shared" si="2"/>
        <v>291.38849593495934</v>
      </c>
      <c r="G11" s="3">
        <f>(D11-'Porównanie leasingów'!$B$19/24)</f>
        <v>2473.1092581300813</v>
      </c>
    </row>
    <row r="12" spans="1:7" x14ac:dyDescent="0.25">
      <c r="A12">
        <v>9</v>
      </c>
      <c r="B12" t="s">
        <v>81</v>
      </c>
      <c r="C12" s="3">
        <v>3116.59</v>
      </c>
      <c r="D12" s="3">
        <f t="shared" si="0"/>
        <v>2533.8130081300815</v>
      </c>
      <c r="E12" s="3">
        <f t="shared" si="1"/>
        <v>582.77699186991867</v>
      </c>
      <c r="F12" s="3">
        <f t="shared" si="2"/>
        <v>291.38849593495934</v>
      </c>
      <c r="G12" s="3">
        <f>(D12-'Porównanie leasingów'!$B$19/24)</f>
        <v>2473.1092581300813</v>
      </c>
    </row>
    <row r="13" spans="1:7" x14ac:dyDescent="0.25">
      <c r="A13">
        <v>10</v>
      </c>
      <c r="B13" t="s">
        <v>82</v>
      </c>
      <c r="C13" s="3">
        <v>3116.59</v>
      </c>
      <c r="D13" s="3">
        <f t="shared" si="0"/>
        <v>2533.8130081300815</v>
      </c>
      <c r="E13" s="3">
        <f t="shared" si="1"/>
        <v>582.77699186991867</v>
      </c>
      <c r="F13" s="3">
        <f t="shared" si="2"/>
        <v>291.38849593495934</v>
      </c>
      <c r="G13" s="3">
        <f>(D13-'Porównanie leasingów'!$B$19/24)</f>
        <v>2473.1092581300813</v>
      </c>
    </row>
    <row r="14" spans="1:7" x14ac:dyDescent="0.25">
      <c r="A14">
        <v>11</v>
      </c>
      <c r="B14" t="s">
        <v>83</v>
      </c>
      <c r="C14" s="3">
        <v>3116.59</v>
      </c>
      <c r="D14" s="3">
        <f t="shared" si="0"/>
        <v>2533.8130081300815</v>
      </c>
      <c r="E14" s="3">
        <f t="shared" si="1"/>
        <v>582.77699186991867</v>
      </c>
      <c r="F14" s="3">
        <f t="shared" si="2"/>
        <v>291.38849593495934</v>
      </c>
      <c r="G14" s="3">
        <f>(D14-'Porównanie leasingów'!$B$19/24)</f>
        <v>2473.1092581300813</v>
      </c>
    </row>
    <row r="15" spans="1:7" x14ac:dyDescent="0.25">
      <c r="A15">
        <v>12</v>
      </c>
      <c r="B15" t="s">
        <v>84</v>
      </c>
      <c r="C15" s="3">
        <v>3116.59</v>
      </c>
      <c r="D15" s="3">
        <f t="shared" si="0"/>
        <v>2533.8130081300815</v>
      </c>
      <c r="E15" s="3">
        <f t="shared" si="1"/>
        <v>582.77699186991867</v>
      </c>
      <c r="F15" s="3">
        <f t="shared" si="2"/>
        <v>291.38849593495934</v>
      </c>
      <c r="G15" s="3">
        <f>(D15-'Porównanie leasingów'!$B$19/24)</f>
        <v>2473.1092581300813</v>
      </c>
    </row>
    <row r="16" spans="1:7" x14ac:dyDescent="0.25">
      <c r="A16">
        <v>13</v>
      </c>
      <c r="B16" t="s">
        <v>85</v>
      </c>
      <c r="C16" s="3">
        <v>3116.59</v>
      </c>
      <c r="D16" s="3">
        <f t="shared" si="0"/>
        <v>2533.8130081300815</v>
      </c>
      <c r="E16" s="3">
        <f t="shared" si="1"/>
        <v>582.77699186991867</v>
      </c>
      <c r="F16" s="3">
        <f t="shared" si="2"/>
        <v>291.38849593495934</v>
      </c>
      <c r="G16" s="3">
        <f>(D16-'Porównanie leasingów'!$B$19/24)</f>
        <v>2473.1092581300813</v>
      </c>
    </row>
    <row r="17" spans="1:7" x14ac:dyDescent="0.25">
      <c r="A17">
        <v>14</v>
      </c>
      <c r="B17" t="s">
        <v>86</v>
      </c>
      <c r="C17" s="3">
        <v>3116.59</v>
      </c>
      <c r="D17" s="3">
        <f t="shared" si="0"/>
        <v>2533.8130081300815</v>
      </c>
      <c r="E17" s="3">
        <f t="shared" si="1"/>
        <v>582.77699186991867</v>
      </c>
      <c r="F17" s="3">
        <f t="shared" si="2"/>
        <v>291.38849593495934</v>
      </c>
      <c r="G17" s="3">
        <f>(D17-'Porównanie leasingów'!$B$19/24)</f>
        <v>2473.1092581300813</v>
      </c>
    </row>
    <row r="18" spans="1:7" x14ac:dyDescent="0.25">
      <c r="A18">
        <v>15</v>
      </c>
      <c r="B18" t="s">
        <v>87</v>
      </c>
      <c r="C18" s="3">
        <v>3116.59</v>
      </c>
      <c r="D18" s="3">
        <f t="shared" si="0"/>
        <v>2533.8130081300815</v>
      </c>
      <c r="E18" s="3">
        <f t="shared" si="1"/>
        <v>582.77699186991867</v>
      </c>
      <c r="F18" s="3">
        <f t="shared" si="2"/>
        <v>291.38849593495934</v>
      </c>
      <c r="G18" s="3">
        <f>(D18-'Porównanie leasingów'!$B$19/24)</f>
        <v>2473.1092581300813</v>
      </c>
    </row>
    <row r="19" spans="1:7" x14ac:dyDescent="0.25">
      <c r="A19">
        <v>16</v>
      </c>
      <c r="B19" t="s">
        <v>88</v>
      </c>
      <c r="C19" s="3">
        <v>3116.59</v>
      </c>
      <c r="D19" s="3">
        <f t="shared" si="0"/>
        <v>2533.8130081300815</v>
      </c>
      <c r="E19" s="3">
        <f t="shared" si="1"/>
        <v>582.77699186991867</v>
      </c>
      <c r="F19" s="3">
        <f t="shared" si="2"/>
        <v>291.38849593495934</v>
      </c>
      <c r="G19" s="3">
        <f>(D19-'Porównanie leasingów'!$B$19/24)</f>
        <v>2473.1092581300813</v>
      </c>
    </row>
    <row r="20" spans="1:7" x14ac:dyDescent="0.25">
      <c r="A20">
        <v>17</v>
      </c>
      <c r="B20" t="s">
        <v>89</v>
      </c>
      <c r="C20" s="3">
        <v>3116.59</v>
      </c>
      <c r="D20" s="3">
        <f t="shared" si="0"/>
        <v>2533.8130081300815</v>
      </c>
      <c r="E20" s="3">
        <f t="shared" si="1"/>
        <v>582.77699186991867</v>
      </c>
      <c r="F20" s="3">
        <f t="shared" si="2"/>
        <v>291.38849593495934</v>
      </c>
      <c r="G20" s="3">
        <f>(D20-'Porównanie leasingów'!$B$19/24)</f>
        <v>2473.1092581300813</v>
      </c>
    </row>
    <row r="21" spans="1:7" x14ac:dyDescent="0.25">
      <c r="A21">
        <v>18</v>
      </c>
      <c r="B21" t="s">
        <v>90</v>
      </c>
      <c r="C21" s="3">
        <v>3116.59</v>
      </c>
      <c r="D21" s="3">
        <f t="shared" si="0"/>
        <v>2533.8130081300815</v>
      </c>
      <c r="E21" s="3">
        <f t="shared" si="1"/>
        <v>582.77699186991867</v>
      </c>
      <c r="F21" s="3">
        <f t="shared" si="2"/>
        <v>291.38849593495934</v>
      </c>
      <c r="G21" s="3">
        <f>(D21-'Porównanie leasingów'!$B$19/24)</f>
        <v>2473.1092581300813</v>
      </c>
    </row>
    <row r="22" spans="1:7" x14ac:dyDescent="0.25">
      <c r="A22">
        <v>19</v>
      </c>
      <c r="B22" t="s">
        <v>91</v>
      </c>
      <c r="C22" s="3">
        <v>3116.59</v>
      </c>
      <c r="D22" s="3">
        <f t="shared" si="0"/>
        <v>2533.8130081300815</v>
      </c>
      <c r="E22" s="3">
        <f t="shared" si="1"/>
        <v>582.77699186991867</v>
      </c>
      <c r="F22" s="3">
        <f t="shared" si="2"/>
        <v>291.38849593495934</v>
      </c>
      <c r="G22" s="3">
        <f>(D22-'Porównanie leasingów'!$B$19/24)</f>
        <v>2473.1092581300813</v>
      </c>
    </row>
    <row r="23" spans="1:7" x14ac:dyDescent="0.25">
      <c r="A23">
        <v>20</v>
      </c>
      <c r="B23" t="s">
        <v>92</v>
      </c>
      <c r="C23" s="3">
        <v>3116.59</v>
      </c>
      <c r="D23" s="3">
        <f t="shared" si="0"/>
        <v>2533.8130081300815</v>
      </c>
      <c r="E23" s="3">
        <f t="shared" si="1"/>
        <v>582.77699186991867</v>
      </c>
      <c r="F23" s="3">
        <f t="shared" si="2"/>
        <v>291.38849593495934</v>
      </c>
      <c r="G23" s="3">
        <f>(D23-'Porównanie leasingów'!$B$19/24)</f>
        <v>2473.1092581300813</v>
      </c>
    </row>
    <row r="24" spans="1:7" x14ac:dyDescent="0.25">
      <c r="A24">
        <v>21</v>
      </c>
      <c r="B24" t="s">
        <v>93</v>
      </c>
      <c r="C24" s="3">
        <v>3116.59</v>
      </c>
      <c r="D24" s="3">
        <f t="shared" si="0"/>
        <v>2533.8130081300815</v>
      </c>
      <c r="E24" s="3">
        <f t="shared" si="1"/>
        <v>582.77699186991867</v>
      </c>
      <c r="F24" s="3">
        <f t="shared" si="2"/>
        <v>291.38849593495934</v>
      </c>
      <c r="G24" s="3">
        <f>(D24-'Porównanie leasingów'!$B$19/24)</f>
        <v>2473.1092581300813</v>
      </c>
    </row>
    <row r="25" spans="1:7" x14ac:dyDescent="0.25">
      <c r="A25">
        <v>22</v>
      </c>
      <c r="B25" t="s">
        <v>94</v>
      </c>
      <c r="C25" s="3">
        <v>3116.59</v>
      </c>
      <c r="D25" s="3">
        <f t="shared" si="0"/>
        <v>2533.8130081300815</v>
      </c>
      <c r="E25" s="3">
        <f t="shared" si="1"/>
        <v>582.77699186991867</v>
      </c>
      <c r="F25" s="3">
        <f t="shared" si="2"/>
        <v>291.38849593495934</v>
      </c>
      <c r="G25" s="3">
        <f>(D25-'Porównanie leasingów'!$B$19/24)</f>
        <v>2473.1092581300813</v>
      </c>
    </row>
    <row r="26" spans="1:7" x14ac:dyDescent="0.25">
      <c r="A26">
        <v>23</v>
      </c>
      <c r="B26" t="s">
        <v>95</v>
      </c>
      <c r="C26" s="3">
        <v>3116.59</v>
      </c>
      <c r="D26" s="3">
        <f t="shared" si="0"/>
        <v>2533.8130081300815</v>
      </c>
      <c r="E26" s="3">
        <f t="shared" si="1"/>
        <v>582.77699186991867</v>
      </c>
      <c r="F26" s="3">
        <f t="shared" si="2"/>
        <v>291.38849593495934</v>
      </c>
      <c r="G26" s="3">
        <f>(D26-'Porównanie leasingów'!$B$19/24)</f>
        <v>2473.1092581300813</v>
      </c>
    </row>
    <row r="27" spans="1:7" x14ac:dyDescent="0.25">
      <c r="A27">
        <v>24</v>
      </c>
      <c r="B27" t="s">
        <v>96</v>
      </c>
      <c r="C27" s="3">
        <v>3116.59</v>
      </c>
      <c r="D27" s="3">
        <f t="shared" si="0"/>
        <v>2533.8130081300815</v>
      </c>
      <c r="E27" s="3">
        <f t="shared" si="1"/>
        <v>582.77699186991867</v>
      </c>
      <c r="F27" s="3">
        <f t="shared" si="2"/>
        <v>291.38849593495934</v>
      </c>
      <c r="G27" s="3">
        <f>(D27-'Porównanie leasingów'!$B$19/24)</f>
        <v>2473.1092581300813</v>
      </c>
    </row>
    <row r="28" spans="1:7" x14ac:dyDescent="0.25">
      <c r="A28" s="12" t="s">
        <v>97</v>
      </c>
      <c r="C28" s="15">
        <f>SUM(C4:C27)</f>
        <v>74798.15999999996</v>
      </c>
      <c r="D28" s="15">
        <f>SUM(D4:D27)</f>
        <v>60811.512195121977</v>
      </c>
      <c r="E28" s="15">
        <f>SUM(E4:E27)</f>
        <v>13986.647804878055</v>
      </c>
      <c r="F28" s="15">
        <f>SUM(F4:F27)</f>
        <v>6993.3239024390277</v>
      </c>
      <c r="G28" s="15">
        <f>SUM(G4:G27)</f>
        <v>59354.62219512197</v>
      </c>
    </row>
    <row r="30" spans="1:7" x14ac:dyDescent="0.25">
      <c r="A30" s="12" t="s">
        <v>105</v>
      </c>
      <c r="C30" s="4">
        <v>1184.46</v>
      </c>
      <c r="D30" s="4">
        <f>C30/1.23</f>
        <v>962.97560975609758</v>
      </c>
      <c r="E30" s="4">
        <f>C30-D30</f>
        <v>221.48439024390245</v>
      </c>
      <c r="F30" s="4">
        <f>E30*0.5</f>
        <v>110.74219512195123</v>
      </c>
    </row>
    <row r="32" spans="1:7" x14ac:dyDescent="0.25">
      <c r="A32" s="12" t="s">
        <v>106</v>
      </c>
      <c r="C32" s="15">
        <f>C28+C30</f>
        <v>75982.619999999966</v>
      </c>
      <c r="D32" s="15">
        <f>D28+D30</f>
        <v>61774.487804878074</v>
      </c>
      <c r="E32" s="15">
        <f>E28+E30</f>
        <v>14208.132195121958</v>
      </c>
      <c r="F32" s="15">
        <f>F28+F30</f>
        <v>7104.066097560979</v>
      </c>
    </row>
    <row r="34" spans="1:1" x14ac:dyDescent="0.25">
      <c r="A34" s="21" t="s">
        <v>100</v>
      </c>
    </row>
    <row r="35" spans="1:1" x14ac:dyDescent="0.25">
      <c r="A35" s="17" t="s">
        <v>107</v>
      </c>
    </row>
    <row r="36" spans="1:1" x14ac:dyDescent="0.25">
      <c r="A36" s="17" t="s">
        <v>108</v>
      </c>
    </row>
    <row r="37" spans="1:1" x14ac:dyDescent="0.25">
      <c r="A37" s="17" t="s">
        <v>109</v>
      </c>
    </row>
  </sheetData>
  <mergeCells count="1">
    <mergeCell ref="A1:G1"/>
  </mergeCells>
  <pageMargins left="0.75" right="0.75" top="1" bottom="1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zoomScaleNormal="100" workbookViewId="0"/>
  </sheetViews>
  <sheetFormatPr defaultColWidth="8.7109375" defaultRowHeight="15" x14ac:dyDescent="0.25"/>
  <cols>
    <col min="1" max="1" width="65" customWidth="1"/>
    <col min="2" max="2" width="28" customWidth="1"/>
    <col min="3" max="3" width="20" customWidth="1"/>
    <col min="4" max="4" width="14" customWidth="1"/>
    <col min="5" max="5" width="23" customWidth="1"/>
    <col min="6" max="6" width="24" customWidth="1"/>
  </cols>
  <sheetData>
    <row r="1" spans="1:6" ht="18" x14ac:dyDescent="0.25">
      <c r="A1" s="33" t="s">
        <v>110</v>
      </c>
      <c r="B1" s="33"/>
      <c r="C1" s="33"/>
      <c r="D1" s="33"/>
      <c r="E1" s="33"/>
      <c r="F1" s="33"/>
    </row>
    <row r="3" spans="1:6" x14ac:dyDescent="0.25">
      <c r="A3" s="7" t="s">
        <v>111</v>
      </c>
      <c r="B3" s="7" t="s">
        <v>112</v>
      </c>
      <c r="C3" s="7" t="s">
        <v>113</v>
      </c>
      <c r="D3" s="7" t="s">
        <v>114</v>
      </c>
      <c r="E3" s="7" t="s">
        <v>115</v>
      </c>
      <c r="F3" s="7" t="s">
        <v>116</v>
      </c>
    </row>
    <row r="4" spans="1:6" x14ac:dyDescent="0.25">
      <c r="A4">
        <v>2026</v>
      </c>
      <c r="B4" s="3">
        <f>'Porównanie leasingów'!B4</f>
        <v>118446.34</v>
      </c>
      <c r="C4" s="22">
        <v>0.2</v>
      </c>
      <c r="D4" s="3">
        <f>B4*C4</f>
        <v>23689.268</v>
      </c>
      <c r="E4" s="3">
        <f>D4</f>
        <v>23689.268</v>
      </c>
      <c r="F4" s="3">
        <f>B4-E4</f>
        <v>94757.072</v>
      </c>
    </row>
    <row r="5" spans="1:6" x14ac:dyDescent="0.25">
      <c r="A5">
        <v>2027</v>
      </c>
      <c r="B5" s="3"/>
      <c r="C5" s="22">
        <v>0.2</v>
      </c>
      <c r="D5" s="3">
        <f>$B$4*$C$4</f>
        <v>23689.268</v>
      </c>
      <c r="E5" s="3">
        <f>SUM($D$4:D5)</f>
        <v>47378.536</v>
      </c>
      <c r="F5" s="3">
        <f>$B$4-E5</f>
        <v>71067.804000000004</v>
      </c>
    </row>
    <row r="6" spans="1:6" x14ac:dyDescent="0.25">
      <c r="A6">
        <v>2028</v>
      </c>
      <c r="B6" s="3"/>
      <c r="C6" s="22">
        <v>0.2</v>
      </c>
      <c r="D6" s="3">
        <f>$B$4*$C$4</f>
        <v>23689.268</v>
      </c>
      <c r="E6" s="3">
        <f>SUM($D$4:D6)</f>
        <v>71067.804000000004</v>
      </c>
      <c r="F6" s="3">
        <f>$B$4-E6</f>
        <v>47378.535999999993</v>
      </c>
    </row>
    <row r="7" spans="1:6" x14ac:dyDescent="0.25">
      <c r="A7">
        <v>2029</v>
      </c>
      <c r="B7" s="3"/>
      <c r="C7" s="22">
        <v>0.2</v>
      </c>
      <c r="D7" s="3">
        <f>$B$4*$C$4</f>
        <v>23689.268</v>
      </c>
      <c r="E7" s="3">
        <f>SUM($D$4:D7)</f>
        <v>94757.072</v>
      </c>
      <c r="F7" s="3">
        <f>$B$4-E7</f>
        <v>23689.267999999996</v>
      </c>
    </row>
    <row r="8" spans="1:6" x14ac:dyDescent="0.25">
      <c r="A8">
        <v>2030</v>
      </c>
      <c r="B8" s="3"/>
      <c r="C8" s="22">
        <v>0.2</v>
      </c>
      <c r="D8" s="3">
        <f>$B$4*$C$4</f>
        <v>23689.268</v>
      </c>
      <c r="E8" s="3">
        <f>SUM($D$4:D8)</f>
        <v>118446.34</v>
      </c>
      <c r="F8" s="3">
        <f>$B$4-E8</f>
        <v>0</v>
      </c>
    </row>
    <row r="10" spans="1:6" x14ac:dyDescent="0.25">
      <c r="A10" s="12" t="s">
        <v>117</v>
      </c>
    </row>
    <row r="11" spans="1:6" x14ac:dyDescent="0.25">
      <c r="A11" s="23" t="s">
        <v>118</v>
      </c>
    </row>
    <row r="12" spans="1:6" x14ac:dyDescent="0.25">
      <c r="A12" s="23" t="s">
        <v>119</v>
      </c>
    </row>
    <row r="13" spans="1:6" x14ac:dyDescent="0.25">
      <c r="A13" s="24" t="s">
        <v>120</v>
      </c>
    </row>
    <row r="14" spans="1:6" x14ac:dyDescent="0.25">
      <c r="A14" s="23" t="s">
        <v>121</v>
      </c>
    </row>
  </sheetData>
  <mergeCells count="1">
    <mergeCell ref="A1:F1"/>
  </mergeCells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Porównanie leasingów</vt:lpstr>
      <vt:lpstr>Harmonogram - Operacyjny</vt:lpstr>
      <vt:lpstr>Harmonogram - Finansowy</vt:lpstr>
      <vt:lpstr>Amortyzacja (fin.)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dc:description/>
  <cp:lastModifiedBy>Alo dwa</cp:lastModifiedBy>
  <cp:revision>0</cp:revision>
  <dcterms:created xsi:type="dcterms:W3CDTF">2025-11-25T07:42:15Z</dcterms:created>
  <dcterms:modified xsi:type="dcterms:W3CDTF">2025-11-25T12:58:21Z</dcterms:modified>
  <dc:language>en-US</dc:language>
</cp:coreProperties>
</file>